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Recuento" sheetId="3" state="visible" r:id="rId3"/>
    <sheet xmlns:r="http://schemas.openxmlformats.org/officeDocument/2006/relationships" name="Ejemplo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6B6459"/>
      <sz val="10"/>
    </font>
    <font>
      <name val="Calibri"/>
      <b val="1"/>
      <sz val="11"/>
    </font>
    <font>
      <name val="Calibri"/>
      <color rgb="009A3412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FBF6EC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0" borderId="1" applyAlignment="1" pivotButton="0" quotePrefix="0" xfId="0">
      <alignment vertical="center" wrapText="1"/>
    </xf>
    <xf numFmtId="165" fontId="0" fillId="2" borderId="1" pivotButton="0" quotePrefix="0" xfId="0"/>
    <xf numFmtId="164" fontId="0" fillId="0" borderId="0" pivotButton="0" quotePrefix="0" xfId="0"/>
    <xf numFmtId="0" fontId="4" fillId="0" borderId="0" pivotButton="0" quotePrefix="0" xfId="0"/>
    <xf numFmtId="0" fontId="3" fillId="0" borderId="1" applyAlignment="1" pivotButton="0" quotePrefix="0" xfId="0">
      <alignment wrapText="1"/>
    </xf>
    <xf numFmtId="0" fontId="3" fillId="0" borderId="1" pivotButton="0" quotePrefix="0" xfId="0"/>
    <xf numFmtId="164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3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2" customWidth="1" min="4" max="4"/>
    <col width="12" customWidth="1" min="5" max="5"/>
    <col width="15" customWidth="1" min="6" max="6"/>
    <col width="12" customWidth="1" min="7" max="7"/>
    <col width="11" customWidth="1" min="8" max="8"/>
    <col width="12" customWidth="1" min="9" max="9"/>
    <col width="12" customWidth="1" min="10" max="10"/>
    <col width="11" customWidth="1" min="11" max="11"/>
    <col width="13" customWidth="1" min="12" max="12"/>
    <col width="12" customWidth="1" min="13" max="13"/>
    <col width="13" customWidth="1" min="14" max="14"/>
    <col width="12" customWidth="1" min="15" max="15"/>
    <col width="26" customWidth="1" min="16" max="16"/>
    <col width="32" customWidth="1" min="17" max="17"/>
  </cols>
  <sheetData>
    <row r="1">
      <c r="A1" s="1" t="inlineStr">
        <is>
          <t>Plantilla de cierre de caja · Diario de Hostelería</t>
        </is>
      </c>
    </row>
    <row r="2">
      <c r="A2" s="2" t="inlineStr">
        <is>
          <t>Una fila por día (o por turno). Rellena las celdas crema; el resto se calcula solo. Cómo usarla: hoja «Instrucciones».</t>
        </is>
      </c>
    </row>
    <row r="3">
      <c r="A3" s="2" t="inlineStr">
        <is>
          <t>Las propinas (bote) van aparte: no son ventas del negocio y no entran en el cuadre.</t>
        </is>
      </c>
    </row>
    <row r="5">
      <c r="A5" s="3" t="inlineStr">
        <is>
          <t>IVA de las ventas (%)</t>
        </is>
      </c>
      <c r="C5" s="4" t="n">
        <v>10</v>
      </c>
      <c r="E5" s="3" t="inlineStr">
        <is>
          <t>Avisar si el descuadre pasa de (€)</t>
        </is>
      </c>
      <c r="G5" s="5" t="n">
        <v>5</v>
      </c>
      <c r="I5" s="2" t="inlineStr">
        <is>
          <t>Escribe el número del IVA (10, 21…). La plantilla no decide qué IVA te corresponde.</t>
        </is>
      </c>
    </row>
    <row r="7" ht="48" customHeight="1">
      <c r="A7" s="6" t="inlineStr">
        <is>
          <t>Fecha</t>
        </is>
      </c>
      <c r="B7" s="6" t="inlineStr">
        <is>
          <t>Día</t>
        </is>
      </c>
      <c r="C7" s="6" t="inlineStr">
        <is>
          <t>Fondo inicial</t>
        </is>
      </c>
      <c r="D7" s="6" t="inlineStr">
        <is>
          <t>Ventas en efectivo</t>
        </is>
      </c>
      <c r="E7" s="6" t="inlineStr">
        <is>
          <t>Ventas con tarjeta</t>
        </is>
      </c>
      <c r="F7" s="6" t="inlineStr">
        <is>
          <t>Otros cobros (Bizum, transferencia)</t>
        </is>
      </c>
      <c r="G7" s="6" t="inlineStr">
        <is>
          <t>Pagos desde la caja</t>
        </is>
      </c>
      <c r="H7" s="6" t="inlineStr">
        <is>
          <t>Retiradas</t>
        </is>
      </c>
      <c r="I7" s="6" t="inlineStr">
        <is>
          <t>Efectivo contado</t>
        </is>
      </c>
      <c r="J7" s="6" t="inlineStr">
        <is>
          <t>Cierre del datáfono</t>
        </is>
      </c>
      <c r="K7" s="6" t="inlineStr">
        <is>
          <t>Bote (aparte)</t>
        </is>
      </c>
      <c r="L7" s="6" t="inlineStr">
        <is>
          <t>Ventas totales con IVA</t>
        </is>
      </c>
      <c r="M7" s="6" t="inlineStr">
        <is>
          <t>Ventas sin IVA</t>
        </is>
      </c>
      <c r="N7" s="6" t="inlineStr">
        <is>
          <t>Efectivo esperado</t>
        </is>
      </c>
      <c r="O7" s="6" t="inlineStr">
        <is>
          <t>Descuadre</t>
        </is>
      </c>
      <c r="P7" s="6" t="inlineStr">
        <is>
          <t>Aviso</t>
        </is>
      </c>
      <c r="Q7" s="6" t="inlineStr">
        <is>
          <t>Notas</t>
        </is>
      </c>
    </row>
    <row r="8">
      <c r="A8" s="7" t="n"/>
      <c r="B8" t="str">
        <f>IF(ISNUMBER(A8),CHOOSE(WEEKDAY(A8,2),"lunes","martes","miércoles","jueves","viernes","sábado","domingo"),"")</f>
        <v/>
      </c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8" t="str">
        <f>IF(AND(ISNUMBER(A8),COUNT(D8:F8)&gt;0),N(D8)+N(E8)+N(F8),"")</f>
        <v/>
      </c>
      <c r="M8" s="8" t="str">
        <f>IF(AND(ISNUMBER(L8),ISNUMBER($C$5),$C$5&gt;=0),ROUND(L8/(1+$C$5/100),2),"")</f>
        <v/>
      </c>
      <c r="N8" s="8" t="str">
        <f>IF(AND(ISNUMBER(A8),COUNT(C8:D8)&gt;0),N(C8)+N(D8)-N(G8)-N(H8),"")</f>
        <v/>
      </c>
      <c r="O8" s="8" t="str">
        <f>IF(AND(ISNUMBER(N8),ISNUMBER(I8)),ROUND(I8-N8,2),"")</f>
        <v/>
      </c>
      <c r="P8" s="9" t="str">
        <f>IF(ISNUMBER(O8),IF(AND(ISNUMBER($G$5),ABS(O8)&gt;$G$5),"Revisa el descuadre",IF(AND(ISNUMBER(J8),ISNUMBER(E8)),IF(ROUND(J8-E8,2)&lt;&gt;0,"El datáfono no cuadra con la tarjeta",""),"")),IF(AND(ISNUMBER(J8),ISNUMBER(E8)),IF(ROUND(J8-E8,2)&lt;&gt;0,"El datáfono no cuadra con la tarjeta",""),""))</f>
        <v/>
      </c>
      <c r="Q8" s="4" t="n"/>
    </row>
    <row r="9">
      <c r="A9" s="7" t="n"/>
      <c r="B9" t="str">
        <f>IF(ISNUMBER(A9),CHOOSE(WEEKDAY(A9,2),"lunes","martes","miércoles","jueves","viernes","sábado","domingo"),"")</f>
        <v/>
      </c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8" t="str">
        <f>IF(AND(ISNUMBER(A9),COUNT(D9:F9)&gt;0),N(D9)+N(E9)+N(F9),"")</f>
        <v/>
      </c>
      <c r="M9" s="8" t="str">
        <f>IF(AND(ISNUMBER(L9),ISNUMBER($C$5),$C$5&gt;=0),ROUND(L9/(1+$C$5/100),2),"")</f>
        <v/>
      </c>
      <c r="N9" s="8" t="str">
        <f>IF(AND(ISNUMBER(A9),COUNT(C9:D9)&gt;0),N(C9)+N(D9)-N(G9)-N(H9),"")</f>
        <v/>
      </c>
      <c r="O9" s="8" t="str">
        <f>IF(AND(ISNUMBER(N9),ISNUMBER(I9)),ROUND(I9-N9,2),"")</f>
        <v/>
      </c>
      <c r="P9" s="9" t="str">
        <f>IF(ISNUMBER(O9),IF(AND(ISNUMBER($G$5),ABS(O9)&gt;$G$5),"Revisa el descuadre",IF(AND(ISNUMBER(J9),ISNUMBER(E9)),IF(ROUND(J9-E9,2)&lt;&gt;0,"El datáfono no cuadra con la tarjeta",""),"")),IF(AND(ISNUMBER(J9),ISNUMBER(E9)),IF(ROUND(J9-E9,2)&lt;&gt;0,"El datáfono no cuadra con la tarjeta",""),""))</f>
        <v/>
      </c>
      <c r="Q9" s="4" t="n"/>
    </row>
    <row r="10">
      <c r="A10" s="7" t="n"/>
      <c r="B10" t="str">
        <f>IF(ISNUMBER(A10),CHOOSE(WEEKDAY(A10,2),"lunes","martes","miércoles","jueves","viernes","sábado","domingo"),"")</f>
        <v/>
      </c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8" t="str">
        <f>IF(AND(ISNUMBER(A10),COUNT(D10:F10)&gt;0),N(D10)+N(E10)+N(F10),"")</f>
        <v/>
      </c>
      <c r="M10" s="8" t="str">
        <f>IF(AND(ISNUMBER(L10),ISNUMBER($C$5),$C$5&gt;=0),ROUND(L10/(1+$C$5/100),2),"")</f>
        <v/>
      </c>
      <c r="N10" s="8" t="str">
        <f>IF(AND(ISNUMBER(A10),COUNT(C10:D10)&gt;0),N(C10)+N(D10)-N(G10)-N(H10),"")</f>
        <v/>
      </c>
      <c r="O10" s="8" t="str">
        <f>IF(AND(ISNUMBER(N10),ISNUMBER(I10)),ROUND(I10-N10,2),"")</f>
        <v/>
      </c>
      <c r="P10" s="9" t="str">
        <f>IF(ISNUMBER(O10),IF(AND(ISNUMBER($G$5),ABS(O10)&gt;$G$5),"Revisa el descuadre",IF(AND(ISNUMBER(J10),ISNUMBER(E10)),IF(ROUND(J10-E10,2)&lt;&gt;0,"El datáfono no cuadra con la tarjeta",""),"")),IF(AND(ISNUMBER(J10),ISNUMBER(E10)),IF(ROUND(J10-E10,2)&lt;&gt;0,"El datáfono no cuadra con la tarjeta",""),""))</f>
        <v/>
      </c>
      <c r="Q10" s="4" t="n"/>
    </row>
    <row r="11">
      <c r="A11" s="7" t="n"/>
      <c r="B11" t="str">
        <f>IF(ISNUMBER(A11),CHOOSE(WEEKDAY(A11,2),"lunes","martes","miércoles","jueves","viernes","sábado","domingo"),"")</f>
        <v/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8" t="str">
        <f>IF(AND(ISNUMBER(A11),COUNT(D11:F11)&gt;0),N(D11)+N(E11)+N(F11),"")</f>
        <v/>
      </c>
      <c r="M11" s="8" t="str">
        <f>IF(AND(ISNUMBER(L11),ISNUMBER($C$5),$C$5&gt;=0),ROUND(L11/(1+$C$5/100),2),"")</f>
        <v/>
      </c>
      <c r="N11" s="8" t="str">
        <f>IF(AND(ISNUMBER(A11),COUNT(C11:D11)&gt;0),N(C11)+N(D11)-N(G11)-N(H11),"")</f>
        <v/>
      </c>
      <c r="O11" s="8" t="str">
        <f>IF(AND(ISNUMBER(N11),ISNUMBER(I11)),ROUND(I11-N11,2),"")</f>
        <v/>
      </c>
      <c r="P11" s="9" t="str">
        <f>IF(ISNUMBER(O11),IF(AND(ISNUMBER($G$5),ABS(O11)&gt;$G$5),"Revisa el descuadre",IF(AND(ISNUMBER(J11),ISNUMBER(E11)),IF(ROUND(J11-E11,2)&lt;&gt;0,"El datáfono no cuadra con la tarjeta",""),"")),IF(AND(ISNUMBER(J11),ISNUMBER(E11)),IF(ROUND(J11-E11,2)&lt;&gt;0,"El datáfono no cuadra con la tarjeta",""),""))</f>
        <v/>
      </c>
      <c r="Q11" s="4" t="n"/>
    </row>
    <row r="12">
      <c r="A12" s="7" t="n"/>
      <c r="B12" t="str">
        <f>IF(ISNUMBER(A12),CHOOSE(WEEKDAY(A12,2),"lunes","martes","miércoles","jueves","viernes","sábado","domingo"),"")</f>
        <v/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8" t="str">
        <f>IF(AND(ISNUMBER(A12),COUNT(D12:F12)&gt;0),N(D12)+N(E12)+N(F12),"")</f>
        <v/>
      </c>
      <c r="M12" s="8" t="str">
        <f>IF(AND(ISNUMBER(L12),ISNUMBER($C$5),$C$5&gt;=0),ROUND(L12/(1+$C$5/100),2),"")</f>
        <v/>
      </c>
      <c r="N12" s="8" t="str">
        <f>IF(AND(ISNUMBER(A12),COUNT(C12:D12)&gt;0),N(C12)+N(D12)-N(G12)-N(H12),"")</f>
        <v/>
      </c>
      <c r="O12" s="8" t="str">
        <f>IF(AND(ISNUMBER(N12),ISNUMBER(I12)),ROUND(I12-N12,2),"")</f>
        <v/>
      </c>
      <c r="P12" s="9" t="str">
        <f>IF(ISNUMBER(O12),IF(AND(ISNUMBER($G$5),ABS(O12)&gt;$G$5),"Revisa el descuadre",IF(AND(ISNUMBER(J12),ISNUMBER(E12)),IF(ROUND(J12-E12,2)&lt;&gt;0,"El datáfono no cuadra con la tarjeta",""),"")),IF(AND(ISNUMBER(J12),ISNUMBER(E12)),IF(ROUND(J12-E12,2)&lt;&gt;0,"El datáfono no cuadra con la tarjeta",""),""))</f>
        <v/>
      </c>
      <c r="Q12" s="4" t="n"/>
    </row>
    <row r="13">
      <c r="A13" s="7" t="n"/>
      <c r="B13" t="str">
        <f>IF(ISNUMBER(A13),CHOOSE(WEEKDAY(A13,2),"lunes","martes","miércoles","jueves","viernes","sábado","domingo"),"")</f>
        <v/>
      </c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8" t="str">
        <f>IF(AND(ISNUMBER(A13),COUNT(D13:F13)&gt;0),N(D13)+N(E13)+N(F13),"")</f>
        <v/>
      </c>
      <c r="M13" s="8" t="str">
        <f>IF(AND(ISNUMBER(L13),ISNUMBER($C$5),$C$5&gt;=0),ROUND(L13/(1+$C$5/100),2),"")</f>
        <v/>
      </c>
      <c r="N13" s="8" t="str">
        <f>IF(AND(ISNUMBER(A13),COUNT(C13:D13)&gt;0),N(C13)+N(D13)-N(G13)-N(H13),"")</f>
        <v/>
      </c>
      <c r="O13" s="8" t="str">
        <f>IF(AND(ISNUMBER(N13),ISNUMBER(I13)),ROUND(I13-N13,2),"")</f>
        <v/>
      </c>
      <c r="P13" s="9" t="str">
        <f>IF(ISNUMBER(O13),IF(AND(ISNUMBER($G$5),ABS(O13)&gt;$G$5),"Revisa el descuadre",IF(AND(ISNUMBER(J13),ISNUMBER(E13)),IF(ROUND(J13-E13,2)&lt;&gt;0,"El datáfono no cuadra con la tarjeta",""),"")),IF(AND(ISNUMBER(J13),ISNUMBER(E13)),IF(ROUND(J13-E13,2)&lt;&gt;0,"El datáfono no cuadra con la tarjeta",""),""))</f>
        <v/>
      </c>
      <c r="Q13" s="4" t="n"/>
    </row>
    <row r="14">
      <c r="A14" s="7" t="n"/>
      <c r="B14" t="str">
        <f>IF(ISNUMBER(A14),CHOOSE(WEEKDAY(A14,2),"lunes","martes","miércoles","jueves","viernes","sábado","domingo"),"")</f>
        <v/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8" t="str">
        <f>IF(AND(ISNUMBER(A14),COUNT(D14:F14)&gt;0),N(D14)+N(E14)+N(F14),"")</f>
        <v/>
      </c>
      <c r="M14" s="8" t="str">
        <f>IF(AND(ISNUMBER(L14),ISNUMBER($C$5),$C$5&gt;=0),ROUND(L14/(1+$C$5/100),2),"")</f>
        <v/>
      </c>
      <c r="N14" s="8" t="str">
        <f>IF(AND(ISNUMBER(A14),COUNT(C14:D14)&gt;0),N(C14)+N(D14)-N(G14)-N(H14),"")</f>
        <v/>
      </c>
      <c r="O14" s="8" t="str">
        <f>IF(AND(ISNUMBER(N14),ISNUMBER(I14)),ROUND(I14-N14,2),"")</f>
        <v/>
      </c>
      <c r="P14" s="9" t="str">
        <f>IF(ISNUMBER(O14),IF(AND(ISNUMBER($G$5),ABS(O14)&gt;$G$5),"Revisa el descuadre",IF(AND(ISNUMBER(J14),ISNUMBER(E14)),IF(ROUND(J14-E14,2)&lt;&gt;0,"El datáfono no cuadra con la tarjeta",""),"")),IF(AND(ISNUMBER(J14),ISNUMBER(E14)),IF(ROUND(J14-E14,2)&lt;&gt;0,"El datáfono no cuadra con la tarjeta",""),""))</f>
        <v/>
      </c>
      <c r="Q14" s="4" t="n"/>
    </row>
    <row r="15">
      <c r="A15" s="7" t="n"/>
      <c r="B15" t="str">
        <f>IF(ISNUMBER(A15),CHOOSE(WEEKDAY(A15,2),"lunes","martes","miércoles","jueves","viernes","sábado","domingo"),"")</f>
        <v/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8" t="str">
        <f>IF(AND(ISNUMBER(A15),COUNT(D15:F15)&gt;0),N(D15)+N(E15)+N(F15),"")</f>
        <v/>
      </c>
      <c r="M15" s="8" t="str">
        <f>IF(AND(ISNUMBER(L15),ISNUMBER($C$5),$C$5&gt;=0),ROUND(L15/(1+$C$5/100),2),"")</f>
        <v/>
      </c>
      <c r="N15" s="8" t="str">
        <f>IF(AND(ISNUMBER(A15),COUNT(C15:D15)&gt;0),N(C15)+N(D15)-N(G15)-N(H15),"")</f>
        <v/>
      </c>
      <c r="O15" s="8" t="str">
        <f>IF(AND(ISNUMBER(N15),ISNUMBER(I15)),ROUND(I15-N15,2),"")</f>
        <v/>
      </c>
      <c r="P15" s="9" t="str">
        <f>IF(ISNUMBER(O15),IF(AND(ISNUMBER($G$5),ABS(O15)&gt;$G$5),"Revisa el descuadre",IF(AND(ISNUMBER(J15),ISNUMBER(E15)),IF(ROUND(J15-E15,2)&lt;&gt;0,"El datáfono no cuadra con la tarjeta",""),"")),IF(AND(ISNUMBER(J15),ISNUMBER(E15)),IF(ROUND(J15-E15,2)&lt;&gt;0,"El datáfono no cuadra con la tarjeta",""),""))</f>
        <v/>
      </c>
      <c r="Q15" s="4" t="n"/>
    </row>
    <row r="16">
      <c r="A16" s="7" t="n"/>
      <c r="B16" t="str">
        <f>IF(ISNUMBER(A16),CHOOSE(WEEKDAY(A16,2),"lunes","martes","miércoles","jueves","viernes","sábado","domingo"),"")</f>
        <v/>
      </c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8" t="str">
        <f>IF(AND(ISNUMBER(A16),COUNT(D16:F16)&gt;0),N(D16)+N(E16)+N(F16),"")</f>
        <v/>
      </c>
      <c r="M16" s="8" t="str">
        <f>IF(AND(ISNUMBER(L16),ISNUMBER($C$5),$C$5&gt;=0),ROUND(L16/(1+$C$5/100),2),"")</f>
        <v/>
      </c>
      <c r="N16" s="8" t="str">
        <f>IF(AND(ISNUMBER(A16),COUNT(C16:D16)&gt;0),N(C16)+N(D16)-N(G16)-N(H16),"")</f>
        <v/>
      </c>
      <c r="O16" s="8" t="str">
        <f>IF(AND(ISNUMBER(N16),ISNUMBER(I16)),ROUND(I16-N16,2),"")</f>
        <v/>
      </c>
      <c r="P16" s="9" t="str">
        <f>IF(ISNUMBER(O16),IF(AND(ISNUMBER($G$5),ABS(O16)&gt;$G$5),"Revisa el descuadre",IF(AND(ISNUMBER(J16),ISNUMBER(E16)),IF(ROUND(J16-E16,2)&lt;&gt;0,"El datáfono no cuadra con la tarjeta",""),"")),IF(AND(ISNUMBER(J16),ISNUMBER(E16)),IF(ROUND(J16-E16,2)&lt;&gt;0,"El datáfono no cuadra con la tarjeta",""),""))</f>
        <v/>
      </c>
      <c r="Q16" s="4" t="n"/>
    </row>
    <row r="17">
      <c r="A17" s="7" t="n"/>
      <c r="B17" t="str">
        <f>IF(ISNUMBER(A17),CHOOSE(WEEKDAY(A17,2),"lunes","martes","miércoles","jueves","viernes","sábado","domingo"),"")</f>
        <v/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8" t="str">
        <f>IF(AND(ISNUMBER(A17),COUNT(D17:F17)&gt;0),N(D17)+N(E17)+N(F17),"")</f>
        <v/>
      </c>
      <c r="M17" s="8" t="str">
        <f>IF(AND(ISNUMBER(L17),ISNUMBER($C$5),$C$5&gt;=0),ROUND(L17/(1+$C$5/100),2),"")</f>
        <v/>
      </c>
      <c r="N17" s="8" t="str">
        <f>IF(AND(ISNUMBER(A17),COUNT(C17:D17)&gt;0),N(C17)+N(D17)-N(G17)-N(H17),"")</f>
        <v/>
      </c>
      <c r="O17" s="8" t="str">
        <f>IF(AND(ISNUMBER(N17),ISNUMBER(I17)),ROUND(I17-N17,2),"")</f>
        <v/>
      </c>
      <c r="P17" s="9" t="str">
        <f>IF(ISNUMBER(O17),IF(AND(ISNUMBER($G$5),ABS(O17)&gt;$G$5),"Revisa el descuadre",IF(AND(ISNUMBER(J17),ISNUMBER(E17)),IF(ROUND(J17-E17,2)&lt;&gt;0,"El datáfono no cuadra con la tarjeta",""),"")),IF(AND(ISNUMBER(J17),ISNUMBER(E17)),IF(ROUND(J17-E17,2)&lt;&gt;0,"El datáfono no cuadra con la tarjeta",""),""))</f>
        <v/>
      </c>
      <c r="Q17" s="4" t="n"/>
    </row>
    <row r="18">
      <c r="A18" s="7" t="n"/>
      <c r="B18" t="str">
        <f>IF(ISNUMBER(A18),CHOOSE(WEEKDAY(A18,2),"lunes","martes","miércoles","jueves","viernes","sábado","domingo"),"")</f>
        <v/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8" t="str">
        <f>IF(AND(ISNUMBER(A18),COUNT(D18:F18)&gt;0),N(D18)+N(E18)+N(F18),"")</f>
        <v/>
      </c>
      <c r="M18" s="8" t="str">
        <f>IF(AND(ISNUMBER(L18),ISNUMBER($C$5),$C$5&gt;=0),ROUND(L18/(1+$C$5/100),2),"")</f>
        <v/>
      </c>
      <c r="N18" s="8" t="str">
        <f>IF(AND(ISNUMBER(A18),COUNT(C18:D18)&gt;0),N(C18)+N(D18)-N(G18)-N(H18),"")</f>
        <v/>
      </c>
      <c r="O18" s="8" t="str">
        <f>IF(AND(ISNUMBER(N18),ISNUMBER(I18)),ROUND(I18-N18,2),"")</f>
        <v/>
      </c>
      <c r="P18" s="9" t="str">
        <f>IF(ISNUMBER(O18),IF(AND(ISNUMBER($G$5),ABS(O18)&gt;$G$5),"Revisa el descuadre",IF(AND(ISNUMBER(J18),ISNUMBER(E18)),IF(ROUND(J18-E18,2)&lt;&gt;0,"El datáfono no cuadra con la tarjeta",""),"")),IF(AND(ISNUMBER(J18),ISNUMBER(E18)),IF(ROUND(J18-E18,2)&lt;&gt;0,"El datáfono no cuadra con la tarjeta",""),""))</f>
        <v/>
      </c>
      <c r="Q18" s="4" t="n"/>
    </row>
    <row r="19">
      <c r="A19" s="7" t="n"/>
      <c r="B19" t="str">
        <f>IF(ISNUMBER(A19),CHOOSE(WEEKDAY(A19,2),"lunes","martes","miércoles","jueves","viernes","sábado","domingo"),"")</f>
        <v/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8" t="str">
        <f>IF(AND(ISNUMBER(A19),COUNT(D19:F19)&gt;0),N(D19)+N(E19)+N(F19),"")</f>
        <v/>
      </c>
      <c r="M19" s="8" t="str">
        <f>IF(AND(ISNUMBER(L19),ISNUMBER($C$5),$C$5&gt;=0),ROUND(L19/(1+$C$5/100),2),"")</f>
        <v/>
      </c>
      <c r="N19" s="8" t="str">
        <f>IF(AND(ISNUMBER(A19),COUNT(C19:D19)&gt;0),N(C19)+N(D19)-N(G19)-N(H19),"")</f>
        <v/>
      </c>
      <c r="O19" s="8" t="str">
        <f>IF(AND(ISNUMBER(N19),ISNUMBER(I19)),ROUND(I19-N19,2),"")</f>
        <v/>
      </c>
      <c r="P19" s="9" t="str">
        <f>IF(ISNUMBER(O19),IF(AND(ISNUMBER($G$5),ABS(O19)&gt;$G$5),"Revisa el descuadre",IF(AND(ISNUMBER(J19),ISNUMBER(E19)),IF(ROUND(J19-E19,2)&lt;&gt;0,"El datáfono no cuadra con la tarjeta",""),"")),IF(AND(ISNUMBER(J19),ISNUMBER(E19)),IF(ROUND(J19-E19,2)&lt;&gt;0,"El datáfono no cuadra con la tarjeta",""),""))</f>
        <v/>
      </c>
      <c r="Q19" s="4" t="n"/>
    </row>
    <row r="20">
      <c r="A20" s="7" t="n"/>
      <c r="B20" t="str">
        <f>IF(ISNUMBER(A20),CHOOSE(WEEKDAY(A20,2),"lunes","martes","miércoles","jueves","viernes","sábado","domingo"),"")</f>
        <v/>
      </c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8" t="str">
        <f>IF(AND(ISNUMBER(A20),COUNT(D20:F20)&gt;0),N(D20)+N(E20)+N(F20),"")</f>
        <v/>
      </c>
      <c r="M20" s="8" t="str">
        <f>IF(AND(ISNUMBER(L20),ISNUMBER($C$5),$C$5&gt;=0),ROUND(L20/(1+$C$5/100),2),"")</f>
        <v/>
      </c>
      <c r="N20" s="8" t="str">
        <f>IF(AND(ISNUMBER(A20),COUNT(C20:D20)&gt;0),N(C20)+N(D20)-N(G20)-N(H20),"")</f>
        <v/>
      </c>
      <c r="O20" s="8" t="str">
        <f>IF(AND(ISNUMBER(N20),ISNUMBER(I20)),ROUND(I20-N20,2),"")</f>
        <v/>
      </c>
      <c r="P20" s="9" t="str">
        <f>IF(ISNUMBER(O20),IF(AND(ISNUMBER($G$5),ABS(O20)&gt;$G$5),"Revisa el descuadre",IF(AND(ISNUMBER(J20),ISNUMBER(E20)),IF(ROUND(J20-E20,2)&lt;&gt;0,"El datáfono no cuadra con la tarjeta",""),"")),IF(AND(ISNUMBER(J20),ISNUMBER(E20)),IF(ROUND(J20-E20,2)&lt;&gt;0,"El datáfono no cuadra con la tarjeta",""),""))</f>
        <v/>
      </c>
      <c r="Q20" s="4" t="n"/>
    </row>
    <row r="21">
      <c r="A21" s="7" t="n"/>
      <c r="B21" t="str">
        <f>IF(ISNUMBER(A21),CHOOSE(WEEKDAY(A21,2),"lunes","martes","miércoles","jueves","viernes","sábado","domingo"),"")</f>
        <v/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8" t="str">
        <f>IF(AND(ISNUMBER(A21),COUNT(D21:F21)&gt;0),N(D21)+N(E21)+N(F21),"")</f>
        <v/>
      </c>
      <c r="M21" s="8" t="str">
        <f>IF(AND(ISNUMBER(L21),ISNUMBER($C$5),$C$5&gt;=0),ROUND(L21/(1+$C$5/100),2),"")</f>
        <v/>
      </c>
      <c r="N21" s="8" t="str">
        <f>IF(AND(ISNUMBER(A21),COUNT(C21:D21)&gt;0),N(C21)+N(D21)-N(G21)-N(H21),"")</f>
        <v/>
      </c>
      <c r="O21" s="8" t="str">
        <f>IF(AND(ISNUMBER(N21),ISNUMBER(I21)),ROUND(I21-N21,2),"")</f>
        <v/>
      </c>
      <c r="P21" s="9" t="str">
        <f>IF(ISNUMBER(O21),IF(AND(ISNUMBER($G$5),ABS(O21)&gt;$G$5),"Revisa el descuadre",IF(AND(ISNUMBER(J21),ISNUMBER(E21)),IF(ROUND(J21-E21,2)&lt;&gt;0,"El datáfono no cuadra con la tarjeta",""),"")),IF(AND(ISNUMBER(J21),ISNUMBER(E21)),IF(ROUND(J21-E21,2)&lt;&gt;0,"El datáfono no cuadra con la tarjeta",""),""))</f>
        <v/>
      </c>
      <c r="Q21" s="4" t="n"/>
    </row>
    <row r="22">
      <c r="A22" s="7" t="n"/>
      <c r="B22" t="str">
        <f>IF(ISNUMBER(A22),CHOOSE(WEEKDAY(A22,2),"lunes","martes","miércoles","jueves","viernes","sábado","domingo"),"")</f>
        <v/>
      </c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8" t="str">
        <f>IF(AND(ISNUMBER(A22),COUNT(D22:F22)&gt;0),N(D22)+N(E22)+N(F22),"")</f>
        <v/>
      </c>
      <c r="M22" s="8" t="str">
        <f>IF(AND(ISNUMBER(L22),ISNUMBER($C$5),$C$5&gt;=0),ROUND(L22/(1+$C$5/100),2),"")</f>
        <v/>
      </c>
      <c r="N22" s="8" t="str">
        <f>IF(AND(ISNUMBER(A22),COUNT(C22:D22)&gt;0),N(C22)+N(D22)-N(G22)-N(H22),"")</f>
        <v/>
      </c>
      <c r="O22" s="8" t="str">
        <f>IF(AND(ISNUMBER(N22),ISNUMBER(I22)),ROUND(I22-N22,2),"")</f>
        <v/>
      </c>
      <c r="P22" s="9" t="str">
        <f>IF(ISNUMBER(O22),IF(AND(ISNUMBER($G$5),ABS(O22)&gt;$G$5),"Revisa el descuadre",IF(AND(ISNUMBER(J22),ISNUMBER(E22)),IF(ROUND(J22-E22,2)&lt;&gt;0,"El datáfono no cuadra con la tarjeta",""),"")),IF(AND(ISNUMBER(J22),ISNUMBER(E22)),IF(ROUND(J22-E22,2)&lt;&gt;0,"El datáfono no cuadra con la tarjeta",""),""))</f>
        <v/>
      </c>
      <c r="Q22" s="4" t="n"/>
    </row>
    <row r="23">
      <c r="A23" s="7" t="n"/>
      <c r="B23" t="str">
        <f>IF(ISNUMBER(A23),CHOOSE(WEEKDAY(A23,2),"lunes","martes","miércoles","jueves","viernes","sábado","domingo"),"")</f>
        <v/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8" t="str">
        <f>IF(AND(ISNUMBER(A23),COUNT(D23:F23)&gt;0),N(D23)+N(E23)+N(F23),"")</f>
        <v/>
      </c>
      <c r="M23" s="8" t="str">
        <f>IF(AND(ISNUMBER(L23),ISNUMBER($C$5),$C$5&gt;=0),ROUND(L23/(1+$C$5/100),2),"")</f>
        <v/>
      </c>
      <c r="N23" s="8" t="str">
        <f>IF(AND(ISNUMBER(A23),COUNT(C23:D23)&gt;0),N(C23)+N(D23)-N(G23)-N(H23),"")</f>
        <v/>
      </c>
      <c r="O23" s="8" t="str">
        <f>IF(AND(ISNUMBER(N23),ISNUMBER(I23)),ROUND(I23-N23,2),"")</f>
        <v/>
      </c>
      <c r="P23" s="9" t="str">
        <f>IF(ISNUMBER(O23),IF(AND(ISNUMBER($G$5),ABS(O23)&gt;$G$5),"Revisa el descuadre",IF(AND(ISNUMBER(J23),ISNUMBER(E23)),IF(ROUND(J23-E23,2)&lt;&gt;0,"El datáfono no cuadra con la tarjeta",""),"")),IF(AND(ISNUMBER(J23),ISNUMBER(E23)),IF(ROUND(J23-E23,2)&lt;&gt;0,"El datáfono no cuadra con la tarjeta",""),""))</f>
        <v/>
      </c>
      <c r="Q23" s="4" t="n"/>
    </row>
    <row r="24">
      <c r="A24" s="7" t="n"/>
      <c r="B24" t="str">
        <f>IF(ISNUMBER(A24),CHOOSE(WEEKDAY(A24,2),"lunes","martes","miércoles","jueves","viernes","sábado","domingo"),"")</f>
        <v/>
      </c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8" t="str">
        <f>IF(AND(ISNUMBER(A24),COUNT(D24:F24)&gt;0),N(D24)+N(E24)+N(F24),"")</f>
        <v/>
      </c>
      <c r="M24" s="8" t="str">
        <f>IF(AND(ISNUMBER(L24),ISNUMBER($C$5),$C$5&gt;=0),ROUND(L24/(1+$C$5/100),2),"")</f>
        <v/>
      </c>
      <c r="N24" s="8" t="str">
        <f>IF(AND(ISNUMBER(A24),COUNT(C24:D24)&gt;0),N(C24)+N(D24)-N(G24)-N(H24),"")</f>
        <v/>
      </c>
      <c r="O24" s="8" t="str">
        <f>IF(AND(ISNUMBER(N24),ISNUMBER(I24)),ROUND(I24-N24,2),"")</f>
        <v/>
      </c>
      <c r="P24" s="9" t="str">
        <f>IF(ISNUMBER(O24),IF(AND(ISNUMBER($G$5),ABS(O24)&gt;$G$5),"Revisa el descuadre",IF(AND(ISNUMBER(J24),ISNUMBER(E24)),IF(ROUND(J24-E24,2)&lt;&gt;0,"El datáfono no cuadra con la tarjeta",""),"")),IF(AND(ISNUMBER(J24),ISNUMBER(E24)),IF(ROUND(J24-E24,2)&lt;&gt;0,"El datáfono no cuadra con la tarjeta",""),""))</f>
        <v/>
      </c>
      <c r="Q24" s="4" t="n"/>
    </row>
    <row r="25">
      <c r="A25" s="7" t="n"/>
      <c r="B25" t="str">
        <f>IF(ISNUMBER(A25),CHOOSE(WEEKDAY(A25,2),"lunes","martes","miércoles","jueves","viernes","sábado","domingo"),"")</f>
        <v/>
      </c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8" t="str">
        <f>IF(AND(ISNUMBER(A25),COUNT(D25:F25)&gt;0),N(D25)+N(E25)+N(F25),"")</f>
        <v/>
      </c>
      <c r="M25" s="8" t="str">
        <f>IF(AND(ISNUMBER(L25),ISNUMBER($C$5),$C$5&gt;=0),ROUND(L25/(1+$C$5/100),2),"")</f>
        <v/>
      </c>
      <c r="N25" s="8" t="str">
        <f>IF(AND(ISNUMBER(A25),COUNT(C25:D25)&gt;0),N(C25)+N(D25)-N(G25)-N(H25),"")</f>
        <v/>
      </c>
      <c r="O25" s="8" t="str">
        <f>IF(AND(ISNUMBER(N25),ISNUMBER(I25)),ROUND(I25-N25,2),"")</f>
        <v/>
      </c>
      <c r="P25" s="9" t="str">
        <f>IF(ISNUMBER(O25),IF(AND(ISNUMBER($G$5),ABS(O25)&gt;$G$5),"Revisa el descuadre",IF(AND(ISNUMBER(J25),ISNUMBER(E25)),IF(ROUND(J25-E25,2)&lt;&gt;0,"El datáfono no cuadra con la tarjeta",""),"")),IF(AND(ISNUMBER(J25),ISNUMBER(E25)),IF(ROUND(J25-E25,2)&lt;&gt;0,"El datáfono no cuadra con la tarjeta",""),""))</f>
        <v/>
      </c>
      <c r="Q25" s="4" t="n"/>
    </row>
    <row r="26">
      <c r="A26" s="7" t="n"/>
      <c r="B26" t="str">
        <f>IF(ISNUMBER(A26),CHOOSE(WEEKDAY(A26,2),"lunes","martes","miércoles","jueves","viernes","sábado","domingo"),"")</f>
        <v/>
      </c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8" t="str">
        <f>IF(AND(ISNUMBER(A26),COUNT(D26:F26)&gt;0),N(D26)+N(E26)+N(F26),"")</f>
        <v/>
      </c>
      <c r="M26" s="8" t="str">
        <f>IF(AND(ISNUMBER(L26),ISNUMBER($C$5),$C$5&gt;=0),ROUND(L26/(1+$C$5/100),2),"")</f>
        <v/>
      </c>
      <c r="N26" s="8" t="str">
        <f>IF(AND(ISNUMBER(A26),COUNT(C26:D26)&gt;0),N(C26)+N(D26)-N(G26)-N(H26),"")</f>
        <v/>
      </c>
      <c r="O26" s="8" t="str">
        <f>IF(AND(ISNUMBER(N26),ISNUMBER(I26)),ROUND(I26-N26,2),"")</f>
        <v/>
      </c>
      <c r="P26" s="9" t="str">
        <f>IF(ISNUMBER(O26),IF(AND(ISNUMBER($G$5),ABS(O26)&gt;$G$5),"Revisa el descuadre",IF(AND(ISNUMBER(J26),ISNUMBER(E26)),IF(ROUND(J26-E26,2)&lt;&gt;0,"El datáfono no cuadra con la tarjeta",""),"")),IF(AND(ISNUMBER(J26),ISNUMBER(E26)),IF(ROUND(J26-E26,2)&lt;&gt;0,"El datáfono no cuadra con la tarjeta",""),""))</f>
        <v/>
      </c>
      <c r="Q26" s="4" t="n"/>
    </row>
    <row r="27">
      <c r="A27" s="7" t="n"/>
      <c r="B27" t="str">
        <f>IF(ISNUMBER(A27),CHOOSE(WEEKDAY(A27,2),"lunes","martes","miércoles","jueves","viernes","sábado","domingo"),"")</f>
        <v/>
      </c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8" t="str">
        <f>IF(AND(ISNUMBER(A27),COUNT(D27:F27)&gt;0),N(D27)+N(E27)+N(F27),"")</f>
        <v/>
      </c>
      <c r="M27" s="8" t="str">
        <f>IF(AND(ISNUMBER(L27),ISNUMBER($C$5),$C$5&gt;=0),ROUND(L27/(1+$C$5/100),2),"")</f>
        <v/>
      </c>
      <c r="N27" s="8" t="str">
        <f>IF(AND(ISNUMBER(A27),COUNT(C27:D27)&gt;0),N(C27)+N(D27)-N(G27)-N(H27),"")</f>
        <v/>
      </c>
      <c r="O27" s="8" t="str">
        <f>IF(AND(ISNUMBER(N27),ISNUMBER(I27)),ROUND(I27-N27,2),"")</f>
        <v/>
      </c>
      <c r="P27" s="9" t="str">
        <f>IF(ISNUMBER(O27),IF(AND(ISNUMBER($G$5),ABS(O27)&gt;$G$5),"Revisa el descuadre",IF(AND(ISNUMBER(J27),ISNUMBER(E27)),IF(ROUND(J27-E27,2)&lt;&gt;0,"El datáfono no cuadra con la tarjeta",""),"")),IF(AND(ISNUMBER(J27),ISNUMBER(E27)),IF(ROUND(J27-E27,2)&lt;&gt;0,"El datáfono no cuadra con la tarjeta",""),""))</f>
        <v/>
      </c>
      <c r="Q27" s="4" t="n"/>
    </row>
    <row r="28">
      <c r="A28" s="7" t="n"/>
      <c r="B28" t="str">
        <f>IF(ISNUMBER(A28),CHOOSE(WEEKDAY(A28,2),"lunes","martes","miércoles","jueves","viernes","sábado","domingo"),"")</f>
        <v/>
      </c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8" t="str">
        <f>IF(AND(ISNUMBER(A28),COUNT(D28:F28)&gt;0),N(D28)+N(E28)+N(F28),"")</f>
        <v/>
      </c>
      <c r="M28" s="8" t="str">
        <f>IF(AND(ISNUMBER(L28),ISNUMBER($C$5),$C$5&gt;=0),ROUND(L28/(1+$C$5/100),2),"")</f>
        <v/>
      </c>
      <c r="N28" s="8" t="str">
        <f>IF(AND(ISNUMBER(A28),COUNT(C28:D28)&gt;0),N(C28)+N(D28)-N(G28)-N(H28),"")</f>
        <v/>
      </c>
      <c r="O28" s="8" t="str">
        <f>IF(AND(ISNUMBER(N28),ISNUMBER(I28)),ROUND(I28-N28,2),"")</f>
        <v/>
      </c>
      <c r="P28" s="9" t="str">
        <f>IF(ISNUMBER(O28),IF(AND(ISNUMBER($G$5),ABS(O28)&gt;$G$5),"Revisa el descuadre",IF(AND(ISNUMBER(J28),ISNUMBER(E28)),IF(ROUND(J28-E28,2)&lt;&gt;0,"El datáfono no cuadra con la tarjeta",""),"")),IF(AND(ISNUMBER(J28),ISNUMBER(E28)),IF(ROUND(J28-E28,2)&lt;&gt;0,"El datáfono no cuadra con la tarjeta",""),""))</f>
        <v/>
      </c>
      <c r="Q28" s="4" t="n"/>
    </row>
    <row r="29">
      <c r="A29" s="7" t="n"/>
      <c r="B29" t="str">
        <f>IF(ISNUMBER(A29),CHOOSE(WEEKDAY(A29,2),"lunes","martes","miércoles","jueves","viernes","sábado","domingo"),"")</f>
        <v/>
      </c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8" t="str">
        <f>IF(AND(ISNUMBER(A29),COUNT(D29:F29)&gt;0),N(D29)+N(E29)+N(F29),"")</f>
        <v/>
      </c>
      <c r="M29" s="8" t="str">
        <f>IF(AND(ISNUMBER(L29),ISNUMBER($C$5),$C$5&gt;=0),ROUND(L29/(1+$C$5/100),2),"")</f>
        <v/>
      </c>
      <c r="N29" s="8" t="str">
        <f>IF(AND(ISNUMBER(A29),COUNT(C29:D29)&gt;0),N(C29)+N(D29)-N(G29)-N(H29),"")</f>
        <v/>
      </c>
      <c r="O29" s="8" t="str">
        <f>IF(AND(ISNUMBER(N29),ISNUMBER(I29)),ROUND(I29-N29,2),"")</f>
        <v/>
      </c>
      <c r="P29" s="9" t="str">
        <f>IF(ISNUMBER(O29),IF(AND(ISNUMBER($G$5),ABS(O29)&gt;$G$5),"Revisa el descuadre",IF(AND(ISNUMBER(J29),ISNUMBER(E29)),IF(ROUND(J29-E29,2)&lt;&gt;0,"El datáfono no cuadra con la tarjeta",""),"")),IF(AND(ISNUMBER(J29),ISNUMBER(E29)),IF(ROUND(J29-E29,2)&lt;&gt;0,"El datáfono no cuadra con la tarjeta",""),""))</f>
        <v/>
      </c>
      <c r="Q29" s="4" t="n"/>
    </row>
    <row r="30">
      <c r="A30" s="7" t="n"/>
      <c r="B30" t="str">
        <f>IF(ISNUMBER(A30),CHOOSE(WEEKDAY(A30,2),"lunes","martes","miércoles","jueves","viernes","sábado","domingo"),"")</f>
        <v/>
      </c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8" t="str">
        <f>IF(AND(ISNUMBER(A30),COUNT(D30:F30)&gt;0),N(D30)+N(E30)+N(F30),"")</f>
        <v/>
      </c>
      <c r="M30" s="8" t="str">
        <f>IF(AND(ISNUMBER(L30),ISNUMBER($C$5),$C$5&gt;=0),ROUND(L30/(1+$C$5/100),2),"")</f>
        <v/>
      </c>
      <c r="N30" s="8" t="str">
        <f>IF(AND(ISNUMBER(A30),COUNT(C30:D30)&gt;0),N(C30)+N(D30)-N(G30)-N(H30),"")</f>
        <v/>
      </c>
      <c r="O30" s="8" t="str">
        <f>IF(AND(ISNUMBER(N30),ISNUMBER(I30)),ROUND(I30-N30,2),"")</f>
        <v/>
      </c>
      <c r="P30" s="9" t="str">
        <f>IF(ISNUMBER(O30),IF(AND(ISNUMBER($G$5),ABS(O30)&gt;$G$5),"Revisa el descuadre",IF(AND(ISNUMBER(J30),ISNUMBER(E30)),IF(ROUND(J30-E30,2)&lt;&gt;0,"El datáfono no cuadra con la tarjeta",""),"")),IF(AND(ISNUMBER(J30),ISNUMBER(E30)),IF(ROUND(J30-E30,2)&lt;&gt;0,"El datáfono no cuadra con la tarjeta",""),""))</f>
        <v/>
      </c>
      <c r="Q30" s="4" t="n"/>
    </row>
    <row r="31">
      <c r="A31" s="7" t="n"/>
      <c r="B31" t="str">
        <f>IF(ISNUMBER(A31),CHOOSE(WEEKDAY(A31,2),"lunes","martes","miércoles","jueves","viernes","sábado","domingo"),"")</f>
        <v/>
      </c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8" t="str">
        <f>IF(AND(ISNUMBER(A31),COUNT(D31:F31)&gt;0),N(D31)+N(E31)+N(F31),"")</f>
        <v/>
      </c>
      <c r="M31" s="8" t="str">
        <f>IF(AND(ISNUMBER(L31),ISNUMBER($C$5),$C$5&gt;=0),ROUND(L31/(1+$C$5/100),2),"")</f>
        <v/>
      </c>
      <c r="N31" s="8" t="str">
        <f>IF(AND(ISNUMBER(A31),COUNT(C31:D31)&gt;0),N(C31)+N(D31)-N(G31)-N(H31),"")</f>
        <v/>
      </c>
      <c r="O31" s="8" t="str">
        <f>IF(AND(ISNUMBER(N31),ISNUMBER(I31)),ROUND(I31-N31,2),"")</f>
        <v/>
      </c>
      <c r="P31" s="9" t="str">
        <f>IF(ISNUMBER(O31),IF(AND(ISNUMBER($G$5),ABS(O31)&gt;$G$5),"Revisa el descuadre",IF(AND(ISNUMBER(J31),ISNUMBER(E31)),IF(ROUND(J31-E31,2)&lt;&gt;0,"El datáfono no cuadra con la tarjeta",""),"")),IF(AND(ISNUMBER(J31),ISNUMBER(E31)),IF(ROUND(J31-E31,2)&lt;&gt;0,"El datáfono no cuadra con la tarjeta",""),""))</f>
        <v/>
      </c>
      <c r="Q31" s="4" t="n"/>
    </row>
    <row r="32">
      <c r="A32" s="7" t="n"/>
      <c r="B32" t="str">
        <f>IF(ISNUMBER(A32),CHOOSE(WEEKDAY(A32,2),"lunes","martes","miércoles","jueves","viernes","sábado","domingo"),"")</f>
        <v/>
      </c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8" t="str">
        <f>IF(AND(ISNUMBER(A32),COUNT(D32:F32)&gt;0),N(D32)+N(E32)+N(F32),"")</f>
        <v/>
      </c>
      <c r="M32" s="8" t="str">
        <f>IF(AND(ISNUMBER(L32),ISNUMBER($C$5),$C$5&gt;=0),ROUND(L32/(1+$C$5/100),2),"")</f>
        <v/>
      </c>
      <c r="N32" s="8" t="str">
        <f>IF(AND(ISNUMBER(A32),COUNT(C32:D32)&gt;0),N(C32)+N(D32)-N(G32)-N(H32),"")</f>
        <v/>
      </c>
      <c r="O32" s="8" t="str">
        <f>IF(AND(ISNUMBER(N32),ISNUMBER(I32)),ROUND(I32-N32,2),"")</f>
        <v/>
      </c>
      <c r="P32" s="9" t="str">
        <f>IF(ISNUMBER(O32),IF(AND(ISNUMBER($G$5),ABS(O32)&gt;$G$5),"Revisa el descuadre",IF(AND(ISNUMBER(J32),ISNUMBER(E32)),IF(ROUND(J32-E32,2)&lt;&gt;0,"El datáfono no cuadra con la tarjeta",""),"")),IF(AND(ISNUMBER(J32),ISNUMBER(E32)),IF(ROUND(J32-E32,2)&lt;&gt;0,"El datáfono no cuadra con la tarjeta",""),""))</f>
        <v/>
      </c>
      <c r="Q32" s="4" t="n"/>
    </row>
    <row r="33">
      <c r="A33" s="7" t="n"/>
      <c r="B33" t="str">
        <f>IF(ISNUMBER(A33),CHOOSE(WEEKDAY(A33,2),"lunes","martes","miércoles","jueves","viernes","sábado","domingo"),"")</f>
        <v/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8" t="str">
        <f>IF(AND(ISNUMBER(A33),COUNT(D33:F33)&gt;0),N(D33)+N(E33)+N(F33),"")</f>
        <v/>
      </c>
      <c r="M33" s="8" t="str">
        <f>IF(AND(ISNUMBER(L33),ISNUMBER($C$5),$C$5&gt;=0),ROUND(L33/(1+$C$5/100),2),"")</f>
        <v/>
      </c>
      <c r="N33" s="8" t="str">
        <f>IF(AND(ISNUMBER(A33),COUNT(C33:D33)&gt;0),N(C33)+N(D33)-N(G33)-N(H33),"")</f>
        <v/>
      </c>
      <c r="O33" s="8" t="str">
        <f>IF(AND(ISNUMBER(N33),ISNUMBER(I33)),ROUND(I33-N33,2),"")</f>
        <v/>
      </c>
      <c r="P33" s="9" t="str">
        <f>IF(ISNUMBER(O33),IF(AND(ISNUMBER($G$5),ABS(O33)&gt;$G$5),"Revisa el descuadre",IF(AND(ISNUMBER(J33),ISNUMBER(E33)),IF(ROUND(J33-E33,2)&lt;&gt;0,"El datáfono no cuadra con la tarjeta",""),"")),IF(AND(ISNUMBER(J33),ISNUMBER(E33)),IF(ROUND(J33-E33,2)&lt;&gt;0,"El datáfono no cuadra con la tarjeta",""),""))</f>
        <v/>
      </c>
      <c r="Q33" s="4" t="n"/>
    </row>
    <row r="34">
      <c r="A34" s="7" t="n"/>
      <c r="B34" t="str">
        <f>IF(ISNUMBER(A34),CHOOSE(WEEKDAY(A34,2),"lunes","martes","miércoles","jueves","viernes","sábado","domingo"),"")</f>
        <v/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8" t="str">
        <f>IF(AND(ISNUMBER(A34),COUNT(D34:F34)&gt;0),N(D34)+N(E34)+N(F34),"")</f>
        <v/>
      </c>
      <c r="M34" s="8" t="str">
        <f>IF(AND(ISNUMBER(L34),ISNUMBER($C$5),$C$5&gt;=0),ROUND(L34/(1+$C$5/100),2),"")</f>
        <v/>
      </c>
      <c r="N34" s="8" t="str">
        <f>IF(AND(ISNUMBER(A34),COUNT(C34:D34)&gt;0),N(C34)+N(D34)-N(G34)-N(H34),"")</f>
        <v/>
      </c>
      <c r="O34" s="8" t="str">
        <f>IF(AND(ISNUMBER(N34),ISNUMBER(I34)),ROUND(I34-N34,2),"")</f>
        <v/>
      </c>
      <c r="P34" s="9" t="str">
        <f>IF(ISNUMBER(O34),IF(AND(ISNUMBER($G$5),ABS(O34)&gt;$G$5),"Revisa el descuadre",IF(AND(ISNUMBER(J34),ISNUMBER(E34)),IF(ROUND(J34-E34,2)&lt;&gt;0,"El datáfono no cuadra con la tarjeta",""),"")),IF(AND(ISNUMBER(J34),ISNUMBER(E34)),IF(ROUND(J34-E34,2)&lt;&gt;0,"El datáfono no cuadra con la tarjeta",""),""))</f>
        <v/>
      </c>
      <c r="Q34" s="4" t="n"/>
    </row>
    <row r="35">
      <c r="A35" s="7" t="n"/>
      <c r="B35" t="str">
        <f>IF(ISNUMBER(A35),CHOOSE(WEEKDAY(A35,2),"lunes","martes","miércoles","jueves","viernes","sábado","domingo"),"")</f>
        <v/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8" t="str">
        <f>IF(AND(ISNUMBER(A35),COUNT(D35:F35)&gt;0),N(D35)+N(E35)+N(F35),"")</f>
        <v/>
      </c>
      <c r="M35" s="8" t="str">
        <f>IF(AND(ISNUMBER(L35),ISNUMBER($C$5),$C$5&gt;=0),ROUND(L35/(1+$C$5/100),2),"")</f>
        <v/>
      </c>
      <c r="N35" s="8" t="str">
        <f>IF(AND(ISNUMBER(A35),COUNT(C35:D35)&gt;0),N(C35)+N(D35)-N(G35)-N(H35),"")</f>
        <v/>
      </c>
      <c r="O35" s="8" t="str">
        <f>IF(AND(ISNUMBER(N35),ISNUMBER(I35)),ROUND(I35-N35,2),"")</f>
        <v/>
      </c>
      <c r="P35" s="9" t="str">
        <f>IF(ISNUMBER(O35),IF(AND(ISNUMBER($G$5),ABS(O35)&gt;$G$5),"Revisa el descuadre",IF(AND(ISNUMBER(J35),ISNUMBER(E35)),IF(ROUND(J35-E35,2)&lt;&gt;0,"El datáfono no cuadra con la tarjeta",""),"")),IF(AND(ISNUMBER(J35),ISNUMBER(E35)),IF(ROUND(J35-E35,2)&lt;&gt;0,"El datáfono no cuadra con la tarjeta",""),""))</f>
        <v/>
      </c>
      <c r="Q35" s="4" t="n"/>
    </row>
    <row r="36">
      <c r="A36" s="7" t="n"/>
      <c r="B36" t="str">
        <f>IF(ISNUMBER(A36),CHOOSE(WEEKDAY(A36,2),"lunes","martes","miércoles","jueves","viernes","sábado","domingo"),"")</f>
        <v/>
      </c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8" t="str">
        <f>IF(AND(ISNUMBER(A36),COUNT(D36:F36)&gt;0),N(D36)+N(E36)+N(F36),"")</f>
        <v/>
      </c>
      <c r="M36" s="8" t="str">
        <f>IF(AND(ISNUMBER(L36),ISNUMBER($C$5),$C$5&gt;=0),ROUND(L36/(1+$C$5/100),2),"")</f>
        <v/>
      </c>
      <c r="N36" s="8" t="str">
        <f>IF(AND(ISNUMBER(A36),COUNT(C36:D36)&gt;0),N(C36)+N(D36)-N(G36)-N(H36),"")</f>
        <v/>
      </c>
      <c r="O36" s="8" t="str">
        <f>IF(AND(ISNUMBER(N36),ISNUMBER(I36)),ROUND(I36-N36,2),"")</f>
        <v/>
      </c>
      <c r="P36" s="9" t="str">
        <f>IF(ISNUMBER(O36),IF(AND(ISNUMBER($G$5),ABS(O36)&gt;$G$5),"Revisa el descuadre",IF(AND(ISNUMBER(J36),ISNUMBER(E36)),IF(ROUND(J36-E36,2)&lt;&gt;0,"El datáfono no cuadra con la tarjeta",""),"")),IF(AND(ISNUMBER(J36),ISNUMBER(E36)),IF(ROUND(J36-E36,2)&lt;&gt;0,"El datáfono no cuadra con la tarjeta",""),""))</f>
        <v/>
      </c>
      <c r="Q36" s="4" t="n"/>
    </row>
    <row r="37">
      <c r="A37" s="7" t="n"/>
      <c r="B37" t="str">
        <f>IF(ISNUMBER(A37),CHOOSE(WEEKDAY(A37,2),"lunes","martes","miércoles","jueves","viernes","sábado","domingo"),"")</f>
        <v/>
      </c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8" t="str">
        <f>IF(AND(ISNUMBER(A37),COUNT(D37:F37)&gt;0),N(D37)+N(E37)+N(F37),"")</f>
        <v/>
      </c>
      <c r="M37" s="8" t="str">
        <f>IF(AND(ISNUMBER(L37),ISNUMBER($C$5),$C$5&gt;=0),ROUND(L37/(1+$C$5/100),2),"")</f>
        <v/>
      </c>
      <c r="N37" s="8" t="str">
        <f>IF(AND(ISNUMBER(A37),COUNT(C37:D37)&gt;0),N(C37)+N(D37)-N(G37)-N(H37),"")</f>
        <v/>
      </c>
      <c r="O37" s="8" t="str">
        <f>IF(AND(ISNUMBER(N37),ISNUMBER(I37)),ROUND(I37-N37,2),"")</f>
        <v/>
      </c>
      <c r="P37" s="9" t="str">
        <f>IF(ISNUMBER(O37),IF(AND(ISNUMBER($G$5),ABS(O37)&gt;$G$5),"Revisa el descuadre",IF(AND(ISNUMBER(J37),ISNUMBER(E37)),IF(ROUND(J37-E37,2)&lt;&gt;0,"El datáfono no cuadra con la tarjeta",""),"")),IF(AND(ISNUMBER(J37),ISNUMBER(E37)),IF(ROUND(J37-E37,2)&lt;&gt;0,"El datáfono no cuadra con la tarjeta",""),""))</f>
        <v/>
      </c>
      <c r="Q37" s="4" t="n"/>
    </row>
    <row r="38">
      <c r="A38" s="7" t="n"/>
      <c r="B38" t="str">
        <f>IF(ISNUMBER(A38),CHOOSE(WEEKDAY(A38,2),"lunes","martes","miércoles","jueves","viernes","sábado","domingo"),"")</f>
        <v/>
      </c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8" t="str">
        <f>IF(AND(ISNUMBER(A38),COUNT(D38:F38)&gt;0),N(D38)+N(E38)+N(F38),"")</f>
        <v/>
      </c>
      <c r="M38" s="8" t="str">
        <f>IF(AND(ISNUMBER(L38),ISNUMBER($C$5),$C$5&gt;=0),ROUND(L38/(1+$C$5/100),2),"")</f>
        <v/>
      </c>
      <c r="N38" s="8" t="str">
        <f>IF(AND(ISNUMBER(A38),COUNT(C38:D38)&gt;0),N(C38)+N(D38)-N(G38)-N(H38),"")</f>
        <v/>
      </c>
      <c r="O38" s="8" t="str">
        <f>IF(AND(ISNUMBER(N38),ISNUMBER(I38)),ROUND(I38-N38,2),"")</f>
        <v/>
      </c>
      <c r="P38" s="9" t="str">
        <f>IF(ISNUMBER(O38),IF(AND(ISNUMBER($G$5),ABS(O38)&gt;$G$5),"Revisa el descuadre",IF(AND(ISNUMBER(J38),ISNUMBER(E38)),IF(ROUND(J38-E38,2)&lt;&gt;0,"El datáfono no cuadra con la tarjeta",""),"")),IF(AND(ISNUMBER(J38),ISNUMBER(E38)),IF(ROUND(J38-E38,2)&lt;&gt;0,"El datáfono no cuadra con la tarjeta",""),""))</f>
        <v/>
      </c>
      <c r="Q38" s="4" t="n"/>
    </row>
    <row r="39">
      <c r="A39" s="7" t="n"/>
      <c r="B39" t="str">
        <f>IF(ISNUMBER(A39),CHOOSE(WEEKDAY(A39,2),"lunes","martes","miércoles","jueves","viernes","sábado","domingo"),"")</f>
        <v/>
      </c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8" t="str">
        <f>IF(AND(ISNUMBER(A39),COUNT(D39:F39)&gt;0),N(D39)+N(E39)+N(F39),"")</f>
        <v/>
      </c>
      <c r="M39" s="8" t="str">
        <f>IF(AND(ISNUMBER(L39),ISNUMBER($C$5),$C$5&gt;=0),ROUND(L39/(1+$C$5/100),2),"")</f>
        <v/>
      </c>
      <c r="N39" s="8" t="str">
        <f>IF(AND(ISNUMBER(A39),COUNT(C39:D39)&gt;0),N(C39)+N(D39)-N(G39)-N(H39),"")</f>
        <v/>
      </c>
      <c r="O39" s="8" t="str">
        <f>IF(AND(ISNUMBER(N39),ISNUMBER(I39)),ROUND(I39-N39,2),"")</f>
        <v/>
      </c>
      <c r="P39" s="9" t="str">
        <f>IF(ISNUMBER(O39),IF(AND(ISNUMBER($G$5),ABS(O39)&gt;$G$5),"Revisa el descuadre",IF(AND(ISNUMBER(J39),ISNUMBER(E39)),IF(ROUND(J39-E39,2)&lt;&gt;0,"El datáfono no cuadra con la tarjeta",""),"")),IF(AND(ISNUMBER(J39),ISNUMBER(E39)),IF(ROUND(J39-E39,2)&lt;&gt;0,"El datáfono no cuadra con la tarjeta",""),""))</f>
        <v/>
      </c>
      <c r="Q39" s="4" t="n"/>
    </row>
    <row r="40">
      <c r="A40" s="7" t="n"/>
      <c r="B40" t="str">
        <f>IF(ISNUMBER(A40),CHOOSE(WEEKDAY(A40,2),"lunes","martes","miércoles","jueves","viernes","sábado","domingo"),"")</f>
        <v/>
      </c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8" t="str">
        <f>IF(AND(ISNUMBER(A40),COUNT(D40:F40)&gt;0),N(D40)+N(E40)+N(F40),"")</f>
        <v/>
      </c>
      <c r="M40" s="8" t="str">
        <f>IF(AND(ISNUMBER(L40),ISNUMBER($C$5),$C$5&gt;=0),ROUND(L40/(1+$C$5/100),2),"")</f>
        <v/>
      </c>
      <c r="N40" s="8" t="str">
        <f>IF(AND(ISNUMBER(A40),COUNT(C40:D40)&gt;0),N(C40)+N(D40)-N(G40)-N(H40),"")</f>
        <v/>
      </c>
      <c r="O40" s="8" t="str">
        <f>IF(AND(ISNUMBER(N40),ISNUMBER(I40)),ROUND(I40-N40,2),"")</f>
        <v/>
      </c>
      <c r="P40" s="9" t="str">
        <f>IF(ISNUMBER(O40),IF(AND(ISNUMBER($G$5),ABS(O40)&gt;$G$5),"Revisa el descuadre",IF(AND(ISNUMBER(J40),ISNUMBER(E40)),IF(ROUND(J40-E40,2)&lt;&gt;0,"El datáfono no cuadra con la tarjeta",""),"")),IF(AND(ISNUMBER(J40),ISNUMBER(E40)),IF(ROUND(J40-E40,2)&lt;&gt;0,"El datáfono no cuadra con la tarjeta",""),""))</f>
        <v/>
      </c>
      <c r="Q40" s="4" t="n"/>
    </row>
    <row r="41">
      <c r="A41" s="7" t="n"/>
      <c r="B41" t="str">
        <f>IF(ISNUMBER(A41),CHOOSE(WEEKDAY(A41,2),"lunes","martes","miércoles","jueves","viernes","sábado","domingo"),"")</f>
        <v/>
      </c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8" t="str">
        <f>IF(AND(ISNUMBER(A41),COUNT(D41:F41)&gt;0),N(D41)+N(E41)+N(F41),"")</f>
        <v/>
      </c>
      <c r="M41" s="8" t="str">
        <f>IF(AND(ISNUMBER(L41),ISNUMBER($C$5),$C$5&gt;=0),ROUND(L41/(1+$C$5/100),2),"")</f>
        <v/>
      </c>
      <c r="N41" s="8" t="str">
        <f>IF(AND(ISNUMBER(A41),COUNT(C41:D41)&gt;0),N(C41)+N(D41)-N(G41)-N(H41),"")</f>
        <v/>
      </c>
      <c r="O41" s="8" t="str">
        <f>IF(AND(ISNUMBER(N41),ISNUMBER(I41)),ROUND(I41-N41,2),"")</f>
        <v/>
      </c>
      <c r="P41" s="9" t="str">
        <f>IF(ISNUMBER(O41),IF(AND(ISNUMBER($G$5),ABS(O41)&gt;$G$5),"Revisa el descuadre",IF(AND(ISNUMBER(J41),ISNUMBER(E41)),IF(ROUND(J41-E41,2)&lt;&gt;0,"El datáfono no cuadra con la tarjeta",""),"")),IF(AND(ISNUMBER(J41),ISNUMBER(E41)),IF(ROUND(J41-E41,2)&lt;&gt;0,"El datáfono no cuadra con la tarjeta",""),""))</f>
        <v/>
      </c>
      <c r="Q41" s="4" t="n"/>
    </row>
    <row r="42">
      <c r="A42" s="7" t="n"/>
      <c r="B42" t="str">
        <f>IF(ISNUMBER(A42),CHOOSE(WEEKDAY(A42,2),"lunes","martes","miércoles","jueves","viernes","sábado","domingo"),"")</f>
        <v/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8" t="str">
        <f>IF(AND(ISNUMBER(A42),COUNT(D42:F42)&gt;0),N(D42)+N(E42)+N(F42),"")</f>
        <v/>
      </c>
      <c r="M42" s="8" t="str">
        <f>IF(AND(ISNUMBER(L42),ISNUMBER($C$5),$C$5&gt;=0),ROUND(L42/(1+$C$5/100),2),"")</f>
        <v/>
      </c>
      <c r="N42" s="8" t="str">
        <f>IF(AND(ISNUMBER(A42),COUNT(C42:D42)&gt;0),N(C42)+N(D42)-N(G42)-N(H42),"")</f>
        <v/>
      </c>
      <c r="O42" s="8" t="str">
        <f>IF(AND(ISNUMBER(N42),ISNUMBER(I42)),ROUND(I42-N42,2),"")</f>
        <v/>
      </c>
      <c r="P42" s="9" t="str">
        <f>IF(ISNUMBER(O42),IF(AND(ISNUMBER($G$5),ABS(O42)&gt;$G$5),"Revisa el descuadre",IF(AND(ISNUMBER(J42),ISNUMBER(E42)),IF(ROUND(J42-E42,2)&lt;&gt;0,"El datáfono no cuadra con la tarjeta",""),"")),IF(AND(ISNUMBER(J42),ISNUMBER(E42)),IF(ROUND(J42-E42,2)&lt;&gt;0,"El datáfono no cuadra con la tarjeta",""),""))</f>
        <v/>
      </c>
      <c r="Q42" s="4" t="n"/>
    </row>
    <row r="43">
      <c r="A43" s="7" t="n"/>
      <c r="B43" t="str">
        <f>IF(ISNUMBER(A43),CHOOSE(WEEKDAY(A43,2),"lunes","martes","miércoles","jueves","viernes","sábado","domingo"),"")</f>
        <v/>
      </c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8" t="str">
        <f>IF(AND(ISNUMBER(A43),COUNT(D43:F43)&gt;0),N(D43)+N(E43)+N(F43),"")</f>
        <v/>
      </c>
      <c r="M43" s="8" t="str">
        <f>IF(AND(ISNUMBER(L43),ISNUMBER($C$5),$C$5&gt;=0),ROUND(L43/(1+$C$5/100),2),"")</f>
        <v/>
      </c>
      <c r="N43" s="8" t="str">
        <f>IF(AND(ISNUMBER(A43),COUNT(C43:D43)&gt;0),N(C43)+N(D43)-N(G43)-N(H43),"")</f>
        <v/>
      </c>
      <c r="O43" s="8" t="str">
        <f>IF(AND(ISNUMBER(N43),ISNUMBER(I43)),ROUND(I43-N43,2),"")</f>
        <v/>
      </c>
      <c r="P43" s="9" t="str">
        <f>IF(ISNUMBER(O43),IF(AND(ISNUMBER($G$5),ABS(O43)&gt;$G$5),"Revisa el descuadre",IF(AND(ISNUMBER(J43),ISNUMBER(E43)),IF(ROUND(J43-E43,2)&lt;&gt;0,"El datáfono no cuadra con la tarjeta",""),"")),IF(AND(ISNUMBER(J43),ISNUMBER(E43)),IF(ROUND(J43-E43,2)&lt;&gt;0,"El datáfono no cuadra con la tarjeta",""),""))</f>
        <v/>
      </c>
      <c r="Q43" s="4" t="n"/>
    </row>
    <row r="44">
      <c r="A44" s="7" t="n"/>
      <c r="B44" t="str">
        <f>IF(ISNUMBER(A44),CHOOSE(WEEKDAY(A44,2),"lunes","martes","miércoles","jueves","viernes","sábado","domingo"),"")</f>
        <v/>
      </c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8" t="str">
        <f>IF(AND(ISNUMBER(A44),COUNT(D44:F44)&gt;0),N(D44)+N(E44)+N(F44),"")</f>
        <v/>
      </c>
      <c r="M44" s="8" t="str">
        <f>IF(AND(ISNUMBER(L44),ISNUMBER($C$5),$C$5&gt;=0),ROUND(L44/(1+$C$5/100),2),"")</f>
        <v/>
      </c>
      <c r="N44" s="8" t="str">
        <f>IF(AND(ISNUMBER(A44),COUNT(C44:D44)&gt;0),N(C44)+N(D44)-N(G44)-N(H44),"")</f>
        <v/>
      </c>
      <c r="O44" s="8" t="str">
        <f>IF(AND(ISNUMBER(N44),ISNUMBER(I44)),ROUND(I44-N44,2),"")</f>
        <v/>
      </c>
      <c r="P44" s="9" t="str">
        <f>IF(ISNUMBER(O44),IF(AND(ISNUMBER($G$5),ABS(O44)&gt;$G$5),"Revisa el descuadre",IF(AND(ISNUMBER(J44),ISNUMBER(E44)),IF(ROUND(J44-E44,2)&lt;&gt;0,"El datáfono no cuadra con la tarjeta",""),"")),IF(AND(ISNUMBER(J44),ISNUMBER(E44)),IF(ROUND(J44-E44,2)&lt;&gt;0,"El datáfono no cuadra con la tarjeta",""),""))</f>
        <v/>
      </c>
      <c r="Q44" s="4" t="n"/>
    </row>
    <row r="45">
      <c r="A45" s="7" t="n"/>
      <c r="B45" t="str">
        <f>IF(ISNUMBER(A45),CHOOSE(WEEKDAY(A45,2),"lunes","martes","miércoles","jueves","viernes","sábado","domingo"),"")</f>
        <v/>
      </c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8" t="str">
        <f>IF(AND(ISNUMBER(A45),COUNT(D45:F45)&gt;0),N(D45)+N(E45)+N(F45),"")</f>
        <v/>
      </c>
      <c r="M45" s="8" t="str">
        <f>IF(AND(ISNUMBER(L45),ISNUMBER($C$5),$C$5&gt;=0),ROUND(L45/(1+$C$5/100),2),"")</f>
        <v/>
      </c>
      <c r="N45" s="8" t="str">
        <f>IF(AND(ISNUMBER(A45),COUNT(C45:D45)&gt;0),N(C45)+N(D45)-N(G45)-N(H45),"")</f>
        <v/>
      </c>
      <c r="O45" s="8" t="str">
        <f>IF(AND(ISNUMBER(N45),ISNUMBER(I45)),ROUND(I45-N45,2),"")</f>
        <v/>
      </c>
      <c r="P45" s="9" t="str">
        <f>IF(ISNUMBER(O45),IF(AND(ISNUMBER($G$5),ABS(O45)&gt;$G$5),"Revisa el descuadre",IF(AND(ISNUMBER(J45),ISNUMBER(E45)),IF(ROUND(J45-E45,2)&lt;&gt;0,"El datáfono no cuadra con la tarjeta",""),"")),IF(AND(ISNUMBER(J45),ISNUMBER(E45)),IF(ROUND(J45-E45,2)&lt;&gt;0,"El datáfono no cuadra con la tarjeta",""),""))</f>
        <v/>
      </c>
      <c r="Q45" s="4" t="n"/>
    </row>
    <row r="46">
      <c r="A46" s="7" t="n"/>
      <c r="B46" t="str">
        <f>IF(ISNUMBER(A46),CHOOSE(WEEKDAY(A46,2),"lunes","martes","miércoles","jueves","viernes","sábado","domingo"),"")</f>
        <v/>
      </c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8" t="str">
        <f>IF(AND(ISNUMBER(A46),COUNT(D46:F46)&gt;0),N(D46)+N(E46)+N(F46),"")</f>
        <v/>
      </c>
      <c r="M46" s="8" t="str">
        <f>IF(AND(ISNUMBER(L46),ISNUMBER($C$5),$C$5&gt;=0),ROUND(L46/(1+$C$5/100),2),"")</f>
        <v/>
      </c>
      <c r="N46" s="8" t="str">
        <f>IF(AND(ISNUMBER(A46),COUNT(C46:D46)&gt;0),N(C46)+N(D46)-N(G46)-N(H46),"")</f>
        <v/>
      </c>
      <c r="O46" s="8" t="str">
        <f>IF(AND(ISNUMBER(N46),ISNUMBER(I46)),ROUND(I46-N46,2),"")</f>
        <v/>
      </c>
      <c r="P46" s="9" t="str">
        <f>IF(ISNUMBER(O46),IF(AND(ISNUMBER($G$5),ABS(O46)&gt;$G$5),"Revisa el descuadre",IF(AND(ISNUMBER(J46),ISNUMBER(E46)),IF(ROUND(J46-E46,2)&lt;&gt;0,"El datáfono no cuadra con la tarjeta",""),"")),IF(AND(ISNUMBER(J46),ISNUMBER(E46)),IF(ROUND(J46-E46,2)&lt;&gt;0,"El datáfono no cuadra con la tarjeta",""),""))</f>
        <v/>
      </c>
      <c r="Q46" s="4" t="n"/>
    </row>
    <row r="47">
      <c r="A47" s="7" t="n"/>
      <c r="B47" t="str">
        <f>IF(ISNUMBER(A47),CHOOSE(WEEKDAY(A47,2),"lunes","martes","miércoles","jueves","viernes","sábado","domingo"),"")</f>
        <v/>
      </c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8" t="str">
        <f>IF(AND(ISNUMBER(A47),COUNT(D47:F47)&gt;0),N(D47)+N(E47)+N(F47),"")</f>
        <v/>
      </c>
      <c r="M47" s="8" t="str">
        <f>IF(AND(ISNUMBER(L47),ISNUMBER($C$5),$C$5&gt;=0),ROUND(L47/(1+$C$5/100),2),"")</f>
        <v/>
      </c>
      <c r="N47" s="8" t="str">
        <f>IF(AND(ISNUMBER(A47),COUNT(C47:D47)&gt;0),N(C47)+N(D47)-N(G47)-N(H47),"")</f>
        <v/>
      </c>
      <c r="O47" s="8" t="str">
        <f>IF(AND(ISNUMBER(N47),ISNUMBER(I47)),ROUND(I47-N47,2),"")</f>
        <v/>
      </c>
      <c r="P47" s="9" t="str">
        <f>IF(ISNUMBER(O47),IF(AND(ISNUMBER($G$5),ABS(O47)&gt;$G$5),"Revisa el descuadre",IF(AND(ISNUMBER(J47),ISNUMBER(E47)),IF(ROUND(J47-E47,2)&lt;&gt;0,"El datáfono no cuadra con la tarjeta",""),"")),IF(AND(ISNUMBER(J47),ISNUMBER(E47)),IF(ROUND(J47-E47,2)&lt;&gt;0,"El datáfono no cuadra con la tarjeta",""),""))</f>
        <v/>
      </c>
      <c r="Q47" s="4" t="n"/>
    </row>
    <row r="48">
      <c r="A48" s="7" t="n"/>
      <c r="B48" t="str">
        <f>IF(ISNUMBER(A48),CHOOSE(WEEKDAY(A48,2),"lunes","martes","miércoles","jueves","viernes","sábado","domingo"),"")</f>
        <v/>
      </c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8" t="str">
        <f>IF(AND(ISNUMBER(A48),COUNT(D48:F48)&gt;0),N(D48)+N(E48)+N(F48),"")</f>
        <v/>
      </c>
      <c r="M48" s="8" t="str">
        <f>IF(AND(ISNUMBER(L48),ISNUMBER($C$5),$C$5&gt;=0),ROUND(L48/(1+$C$5/100),2),"")</f>
        <v/>
      </c>
      <c r="N48" s="8" t="str">
        <f>IF(AND(ISNUMBER(A48),COUNT(C48:D48)&gt;0),N(C48)+N(D48)-N(G48)-N(H48),"")</f>
        <v/>
      </c>
      <c r="O48" s="8" t="str">
        <f>IF(AND(ISNUMBER(N48),ISNUMBER(I48)),ROUND(I48-N48,2),"")</f>
        <v/>
      </c>
      <c r="P48" s="9" t="str">
        <f>IF(ISNUMBER(O48),IF(AND(ISNUMBER($G$5),ABS(O48)&gt;$G$5),"Revisa el descuadre",IF(AND(ISNUMBER(J48),ISNUMBER(E48)),IF(ROUND(J48-E48,2)&lt;&gt;0,"El datáfono no cuadra con la tarjeta",""),"")),IF(AND(ISNUMBER(J48),ISNUMBER(E48)),IF(ROUND(J48-E48,2)&lt;&gt;0,"El datáfono no cuadra con la tarjeta",""),""))</f>
        <v/>
      </c>
      <c r="Q48" s="4" t="n"/>
    </row>
    <row r="49">
      <c r="A49" s="7" t="n"/>
      <c r="B49" t="str">
        <f>IF(ISNUMBER(A49),CHOOSE(WEEKDAY(A49,2),"lunes","martes","miércoles","jueves","viernes","sábado","domingo"),"")</f>
        <v/>
      </c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8" t="str">
        <f>IF(AND(ISNUMBER(A49),COUNT(D49:F49)&gt;0),N(D49)+N(E49)+N(F49),"")</f>
        <v/>
      </c>
      <c r="M49" s="8" t="str">
        <f>IF(AND(ISNUMBER(L49),ISNUMBER($C$5),$C$5&gt;=0),ROUND(L49/(1+$C$5/100),2),"")</f>
        <v/>
      </c>
      <c r="N49" s="8" t="str">
        <f>IF(AND(ISNUMBER(A49),COUNT(C49:D49)&gt;0),N(C49)+N(D49)-N(G49)-N(H49),"")</f>
        <v/>
      </c>
      <c r="O49" s="8" t="str">
        <f>IF(AND(ISNUMBER(N49),ISNUMBER(I49)),ROUND(I49-N49,2),"")</f>
        <v/>
      </c>
      <c r="P49" s="9" t="str">
        <f>IF(ISNUMBER(O49),IF(AND(ISNUMBER($G$5),ABS(O49)&gt;$G$5),"Revisa el descuadre",IF(AND(ISNUMBER(J49),ISNUMBER(E49)),IF(ROUND(J49-E49,2)&lt;&gt;0,"El datáfono no cuadra con la tarjeta",""),"")),IF(AND(ISNUMBER(J49),ISNUMBER(E49)),IF(ROUND(J49-E49,2)&lt;&gt;0,"El datáfono no cuadra con la tarjeta",""),""))</f>
        <v/>
      </c>
      <c r="Q49" s="4" t="n"/>
    </row>
    <row r="50">
      <c r="A50" s="7" t="n"/>
      <c r="B50" t="str">
        <f>IF(ISNUMBER(A50),CHOOSE(WEEKDAY(A50,2),"lunes","martes","miércoles","jueves","viernes","sábado","domingo"),"")</f>
        <v/>
      </c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8" t="str">
        <f>IF(AND(ISNUMBER(A50),COUNT(D50:F50)&gt;0),N(D50)+N(E50)+N(F50),"")</f>
        <v/>
      </c>
      <c r="M50" s="8" t="str">
        <f>IF(AND(ISNUMBER(L50),ISNUMBER($C$5),$C$5&gt;=0),ROUND(L50/(1+$C$5/100),2),"")</f>
        <v/>
      </c>
      <c r="N50" s="8" t="str">
        <f>IF(AND(ISNUMBER(A50),COUNT(C50:D50)&gt;0),N(C50)+N(D50)-N(G50)-N(H50),"")</f>
        <v/>
      </c>
      <c r="O50" s="8" t="str">
        <f>IF(AND(ISNUMBER(N50),ISNUMBER(I50)),ROUND(I50-N50,2),"")</f>
        <v/>
      </c>
      <c r="P50" s="9" t="str">
        <f>IF(ISNUMBER(O50),IF(AND(ISNUMBER($G$5),ABS(O50)&gt;$G$5),"Revisa el descuadre",IF(AND(ISNUMBER(J50),ISNUMBER(E50)),IF(ROUND(J50-E50,2)&lt;&gt;0,"El datáfono no cuadra con la tarjeta",""),"")),IF(AND(ISNUMBER(J50),ISNUMBER(E50)),IF(ROUND(J50-E50,2)&lt;&gt;0,"El datáfono no cuadra con la tarjeta",""),""))</f>
        <v/>
      </c>
      <c r="Q50" s="4" t="n"/>
    </row>
    <row r="51">
      <c r="A51" s="7" t="n"/>
      <c r="B51" t="str">
        <f>IF(ISNUMBER(A51),CHOOSE(WEEKDAY(A51,2),"lunes","martes","miércoles","jueves","viernes","sábado","domingo"),"")</f>
        <v/>
      </c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8" t="str">
        <f>IF(AND(ISNUMBER(A51),COUNT(D51:F51)&gt;0),N(D51)+N(E51)+N(F51),"")</f>
        <v/>
      </c>
      <c r="M51" s="8" t="str">
        <f>IF(AND(ISNUMBER(L51),ISNUMBER($C$5),$C$5&gt;=0),ROUND(L51/(1+$C$5/100),2),"")</f>
        <v/>
      </c>
      <c r="N51" s="8" t="str">
        <f>IF(AND(ISNUMBER(A51),COUNT(C51:D51)&gt;0),N(C51)+N(D51)-N(G51)-N(H51),"")</f>
        <v/>
      </c>
      <c r="O51" s="8" t="str">
        <f>IF(AND(ISNUMBER(N51),ISNUMBER(I51)),ROUND(I51-N51,2),"")</f>
        <v/>
      </c>
      <c r="P51" s="9" t="str">
        <f>IF(ISNUMBER(O51),IF(AND(ISNUMBER($G$5),ABS(O51)&gt;$G$5),"Revisa el descuadre",IF(AND(ISNUMBER(J51),ISNUMBER(E51)),IF(ROUND(J51-E51,2)&lt;&gt;0,"El datáfono no cuadra con la tarjeta",""),"")),IF(AND(ISNUMBER(J51),ISNUMBER(E51)),IF(ROUND(J51-E51,2)&lt;&gt;0,"El datáfono no cuadra con la tarjeta",""),""))</f>
        <v/>
      </c>
      <c r="Q51" s="4" t="n"/>
    </row>
    <row r="52">
      <c r="A52" s="7" t="n"/>
      <c r="B52" t="str">
        <f>IF(ISNUMBER(A52),CHOOSE(WEEKDAY(A52,2),"lunes","martes","miércoles","jueves","viernes","sábado","domingo"),"")</f>
        <v/>
      </c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8" t="str">
        <f>IF(AND(ISNUMBER(A52),COUNT(D52:F52)&gt;0),N(D52)+N(E52)+N(F52),"")</f>
        <v/>
      </c>
      <c r="M52" s="8" t="str">
        <f>IF(AND(ISNUMBER(L52),ISNUMBER($C$5),$C$5&gt;=0),ROUND(L52/(1+$C$5/100),2),"")</f>
        <v/>
      </c>
      <c r="N52" s="8" t="str">
        <f>IF(AND(ISNUMBER(A52),COUNT(C52:D52)&gt;0),N(C52)+N(D52)-N(G52)-N(H52),"")</f>
        <v/>
      </c>
      <c r="O52" s="8" t="str">
        <f>IF(AND(ISNUMBER(N52),ISNUMBER(I52)),ROUND(I52-N52,2),"")</f>
        <v/>
      </c>
      <c r="P52" s="9" t="str">
        <f>IF(ISNUMBER(O52),IF(AND(ISNUMBER($G$5),ABS(O52)&gt;$G$5),"Revisa el descuadre",IF(AND(ISNUMBER(J52),ISNUMBER(E52)),IF(ROUND(J52-E52,2)&lt;&gt;0,"El datáfono no cuadra con la tarjeta",""),"")),IF(AND(ISNUMBER(J52),ISNUMBER(E52)),IF(ROUND(J52-E52,2)&lt;&gt;0,"El datáfono no cuadra con la tarjeta",""),""))</f>
        <v/>
      </c>
      <c r="Q52" s="4" t="n"/>
    </row>
    <row r="53">
      <c r="A53" s="7" t="n"/>
      <c r="B53" t="str">
        <f>IF(ISNUMBER(A53),CHOOSE(WEEKDAY(A53,2),"lunes","martes","miércoles","jueves","viernes","sábado","domingo"),"")</f>
        <v/>
      </c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8" t="str">
        <f>IF(AND(ISNUMBER(A53),COUNT(D53:F53)&gt;0),N(D53)+N(E53)+N(F53),"")</f>
        <v/>
      </c>
      <c r="M53" s="8" t="str">
        <f>IF(AND(ISNUMBER(L53),ISNUMBER($C$5),$C$5&gt;=0),ROUND(L53/(1+$C$5/100),2),"")</f>
        <v/>
      </c>
      <c r="N53" s="8" t="str">
        <f>IF(AND(ISNUMBER(A53),COUNT(C53:D53)&gt;0),N(C53)+N(D53)-N(G53)-N(H53),"")</f>
        <v/>
      </c>
      <c r="O53" s="8" t="str">
        <f>IF(AND(ISNUMBER(N53),ISNUMBER(I53)),ROUND(I53-N53,2),"")</f>
        <v/>
      </c>
      <c r="P53" s="9" t="str">
        <f>IF(ISNUMBER(O53),IF(AND(ISNUMBER($G$5),ABS(O53)&gt;$G$5),"Revisa el descuadre",IF(AND(ISNUMBER(J53),ISNUMBER(E53)),IF(ROUND(J53-E53,2)&lt;&gt;0,"El datáfono no cuadra con la tarjeta",""),"")),IF(AND(ISNUMBER(J53),ISNUMBER(E53)),IF(ROUND(J53-E53,2)&lt;&gt;0,"El datáfono no cuadra con la tarjeta",""),""))</f>
        <v/>
      </c>
      <c r="Q53" s="4" t="n"/>
    </row>
    <row r="54">
      <c r="A54" s="7" t="n"/>
      <c r="B54" t="str">
        <f>IF(ISNUMBER(A54),CHOOSE(WEEKDAY(A54,2),"lunes","martes","miércoles","jueves","viernes","sábado","domingo"),"")</f>
        <v/>
      </c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8" t="str">
        <f>IF(AND(ISNUMBER(A54),COUNT(D54:F54)&gt;0),N(D54)+N(E54)+N(F54),"")</f>
        <v/>
      </c>
      <c r="M54" s="8" t="str">
        <f>IF(AND(ISNUMBER(L54),ISNUMBER($C$5),$C$5&gt;=0),ROUND(L54/(1+$C$5/100),2),"")</f>
        <v/>
      </c>
      <c r="N54" s="8" t="str">
        <f>IF(AND(ISNUMBER(A54),COUNT(C54:D54)&gt;0),N(C54)+N(D54)-N(G54)-N(H54),"")</f>
        <v/>
      </c>
      <c r="O54" s="8" t="str">
        <f>IF(AND(ISNUMBER(N54),ISNUMBER(I54)),ROUND(I54-N54,2),"")</f>
        <v/>
      </c>
      <c r="P54" s="9" t="str">
        <f>IF(ISNUMBER(O54),IF(AND(ISNUMBER($G$5),ABS(O54)&gt;$G$5),"Revisa el descuadre",IF(AND(ISNUMBER(J54),ISNUMBER(E54)),IF(ROUND(J54-E54,2)&lt;&gt;0,"El datáfono no cuadra con la tarjeta",""),"")),IF(AND(ISNUMBER(J54),ISNUMBER(E54)),IF(ROUND(J54-E54,2)&lt;&gt;0,"El datáfono no cuadra con la tarjeta",""),""))</f>
        <v/>
      </c>
      <c r="Q54" s="4" t="n"/>
    </row>
    <row r="55">
      <c r="A55" s="7" t="n"/>
      <c r="B55" t="str">
        <f>IF(ISNUMBER(A55),CHOOSE(WEEKDAY(A55,2),"lunes","martes","miércoles","jueves","viernes","sábado","domingo"),"")</f>
        <v/>
      </c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8" t="str">
        <f>IF(AND(ISNUMBER(A55),COUNT(D55:F55)&gt;0),N(D55)+N(E55)+N(F55),"")</f>
        <v/>
      </c>
      <c r="M55" s="8" t="str">
        <f>IF(AND(ISNUMBER(L55),ISNUMBER($C$5),$C$5&gt;=0),ROUND(L55/(1+$C$5/100),2),"")</f>
        <v/>
      </c>
      <c r="N55" s="8" t="str">
        <f>IF(AND(ISNUMBER(A55),COUNT(C55:D55)&gt;0),N(C55)+N(D55)-N(G55)-N(H55),"")</f>
        <v/>
      </c>
      <c r="O55" s="8" t="str">
        <f>IF(AND(ISNUMBER(N55),ISNUMBER(I55)),ROUND(I55-N55,2),"")</f>
        <v/>
      </c>
      <c r="P55" s="9" t="str">
        <f>IF(ISNUMBER(O55),IF(AND(ISNUMBER($G$5),ABS(O55)&gt;$G$5),"Revisa el descuadre",IF(AND(ISNUMBER(J55),ISNUMBER(E55)),IF(ROUND(J55-E55,2)&lt;&gt;0,"El datáfono no cuadra con la tarjeta",""),"")),IF(AND(ISNUMBER(J55),ISNUMBER(E55)),IF(ROUND(J55-E55,2)&lt;&gt;0,"El datáfono no cuadra con la tarjeta",""),""))</f>
        <v/>
      </c>
      <c r="Q55" s="4" t="n"/>
    </row>
    <row r="56">
      <c r="A56" s="7" t="n"/>
      <c r="B56" t="str">
        <f>IF(ISNUMBER(A56),CHOOSE(WEEKDAY(A56,2),"lunes","martes","miércoles","jueves","viernes","sábado","domingo"),"")</f>
        <v/>
      </c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8" t="str">
        <f>IF(AND(ISNUMBER(A56),COUNT(D56:F56)&gt;0),N(D56)+N(E56)+N(F56),"")</f>
        <v/>
      </c>
      <c r="M56" s="8" t="str">
        <f>IF(AND(ISNUMBER(L56),ISNUMBER($C$5),$C$5&gt;=0),ROUND(L56/(1+$C$5/100),2),"")</f>
        <v/>
      </c>
      <c r="N56" s="8" t="str">
        <f>IF(AND(ISNUMBER(A56),COUNT(C56:D56)&gt;0),N(C56)+N(D56)-N(G56)-N(H56),"")</f>
        <v/>
      </c>
      <c r="O56" s="8" t="str">
        <f>IF(AND(ISNUMBER(N56),ISNUMBER(I56)),ROUND(I56-N56,2),"")</f>
        <v/>
      </c>
      <c r="P56" s="9" t="str">
        <f>IF(ISNUMBER(O56),IF(AND(ISNUMBER($G$5),ABS(O56)&gt;$G$5),"Revisa el descuadre",IF(AND(ISNUMBER(J56),ISNUMBER(E56)),IF(ROUND(J56-E56,2)&lt;&gt;0,"El datáfono no cuadra con la tarjeta",""),"")),IF(AND(ISNUMBER(J56),ISNUMBER(E56)),IF(ROUND(J56-E56,2)&lt;&gt;0,"El datáfono no cuadra con la tarjeta",""),""))</f>
        <v/>
      </c>
      <c r="Q56" s="4" t="n"/>
    </row>
    <row r="57">
      <c r="A57" s="7" t="n"/>
      <c r="B57" t="str">
        <f>IF(ISNUMBER(A57),CHOOSE(WEEKDAY(A57,2),"lunes","martes","miércoles","jueves","viernes","sábado","domingo"),"")</f>
        <v/>
      </c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8" t="str">
        <f>IF(AND(ISNUMBER(A57),COUNT(D57:F57)&gt;0),N(D57)+N(E57)+N(F57),"")</f>
        <v/>
      </c>
      <c r="M57" s="8" t="str">
        <f>IF(AND(ISNUMBER(L57),ISNUMBER($C$5),$C$5&gt;=0),ROUND(L57/(1+$C$5/100),2),"")</f>
        <v/>
      </c>
      <c r="N57" s="8" t="str">
        <f>IF(AND(ISNUMBER(A57),COUNT(C57:D57)&gt;0),N(C57)+N(D57)-N(G57)-N(H57),"")</f>
        <v/>
      </c>
      <c r="O57" s="8" t="str">
        <f>IF(AND(ISNUMBER(N57),ISNUMBER(I57)),ROUND(I57-N57,2),"")</f>
        <v/>
      </c>
      <c r="P57" s="9" t="str">
        <f>IF(ISNUMBER(O57),IF(AND(ISNUMBER($G$5),ABS(O57)&gt;$G$5),"Revisa el descuadre",IF(AND(ISNUMBER(J57),ISNUMBER(E57)),IF(ROUND(J57-E57,2)&lt;&gt;0,"El datáfono no cuadra con la tarjeta",""),"")),IF(AND(ISNUMBER(J57),ISNUMBER(E57)),IF(ROUND(J57-E57,2)&lt;&gt;0,"El datáfono no cuadra con la tarjeta",""),""))</f>
        <v/>
      </c>
      <c r="Q57" s="4" t="n"/>
    </row>
    <row r="58">
      <c r="A58" s="7" t="n"/>
      <c r="B58" t="str">
        <f>IF(ISNUMBER(A58),CHOOSE(WEEKDAY(A58,2),"lunes","martes","miércoles","jueves","viernes","sábado","domingo"),"")</f>
        <v/>
      </c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8" t="str">
        <f>IF(AND(ISNUMBER(A58),COUNT(D58:F58)&gt;0),N(D58)+N(E58)+N(F58),"")</f>
        <v/>
      </c>
      <c r="M58" s="8" t="str">
        <f>IF(AND(ISNUMBER(L58),ISNUMBER($C$5),$C$5&gt;=0),ROUND(L58/(1+$C$5/100),2),"")</f>
        <v/>
      </c>
      <c r="N58" s="8" t="str">
        <f>IF(AND(ISNUMBER(A58),COUNT(C58:D58)&gt;0),N(C58)+N(D58)-N(G58)-N(H58),"")</f>
        <v/>
      </c>
      <c r="O58" s="8" t="str">
        <f>IF(AND(ISNUMBER(N58),ISNUMBER(I58)),ROUND(I58-N58,2),"")</f>
        <v/>
      </c>
      <c r="P58" s="9" t="str">
        <f>IF(ISNUMBER(O58),IF(AND(ISNUMBER($G$5),ABS(O58)&gt;$G$5),"Revisa el descuadre",IF(AND(ISNUMBER(J58),ISNUMBER(E58)),IF(ROUND(J58-E58,2)&lt;&gt;0,"El datáfono no cuadra con la tarjeta",""),"")),IF(AND(ISNUMBER(J58),ISNUMBER(E58)),IF(ROUND(J58-E58,2)&lt;&gt;0,"El datáfono no cuadra con la tarjeta",""),""))</f>
        <v/>
      </c>
      <c r="Q58" s="4" t="n"/>
    </row>
    <row r="59">
      <c r="A59" s="7" t="n"/>
      <c r="B59" t="str">
        <f>IF(ISNUMBER(A59),CHOOSE(WEEKDAY(A59,2),"lunes","martes","miércoles","jueves","viernes","sábado","domingo"),"")</f>
        <v/>
      </c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8" t="str">
        <f>IF(AND(ISNUMBER(A59),COUNT(D59:F59)&gt;0),N(D59)+N(E59)+N(F59),"")</f>
        <v/>
      </c>
      <c r="M59" s="8" t="str">
        <f>IF(AND(ISNUMBER(L59),ISNUMBER($C$5),$C$5&gt;=0),ROUND(L59/(1+$C$5/100),2),"")</f>
        <v/>
      </c>
      <c r="N59" s="8" t="str">
        <f>IF(AND(ISNUMBER(A59),COUNT(C59:D59)&gt;0),N(C59)+N(D59)-N(G59)-N(H59),"")</f>
        <v/>
      </c>
      <c r="O59" s="8" t="str">
        <f>IF(AND(ISNUMBER(N59),ISNUMBER(I59)),ROUND(I59-N59,2),"")</f>
        <v/>
      </c>
      <c r="P59" s="9" t="str">
        <f>IF(ISNUMBER(O59),IF(AND(ISNUMBER($G$5),ABS(O59)&gt;$G$5),"Revisa el descuadre",IF(AND(ISNUMBER(J59),ISNUMBER(E59)),IF(ROUND(J59-E59,2)&lt;&gt;0,"El datáfono no cuadra con la tarjeta",""),"")),IF(AND(ISNUMBER(J59),ISNUMBER(E59)),IF(ROUND(J59-E59,2)&lt;&gt;0,"El datáfono no cuadra con la tarjeta",""),""))</f>
        <v/>
      </c>
      <c r="Q59" s="4" t="n"/>
    </row>
    <row r="60">
      <c r="A60" s="7" t="n"/>
      <c r="B60" t="str">
        <f>IF(ISNUMBER(A60),CHOOSE(WEEKDAY(A60,2),"lunes","martes","miércoles","jueves","viernes","sábado","domingo"),"")</f>
        <v/>
      </c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8" t="str">
        <f>IF(AND(ISNUMBER(A60),COUNT(D60:F60)&gt;0),N(D60)+N(E60)+N(F60),"")</f>
        <v/>
      </c>
      <c r="M60" s="8" t="str">
        <f>IF(AND(ISNUMBER(L60),ISNUMBER($C$5),$C$5&gt;=0),ROUND(L60/(1+$C$5/100),2),"")</f>
        <v/>
      </c>
      <c r="N60" s="8" t="str">
        <f>IF(AND(ISNUMBER(A60),COUNT(C60:D60)&gt;0),N(C60)+N(D60)-N(G60)-N(H60),"")</f>
        <v/>
      </c>
      <c r="O60" s="8" t="str">
        <f>IF(AND(ISNUMBER(N60),ISNUMBER(I60)),ROUND(I60-N60,2),"")</f>
        <v/>
      </c>
      <c r="P60" s="9" t="str">
        <f>IF(ISNUMBER(O60),IF(AND(ISNUMBER($G$5),ABS(O60)&gt;$G$5),"Revisa el descuadre",IF(AND(ISNUMBER(J60),ISNUMBER(E60)),IF(ROUND(J60-E60,2)&lt;&gt;0,"El datáfono no cuadra con la tarjeta",""),"")),IF(AND(ISNUMBER(J60),ISNUMBER(E60)),IF(ROUND(J60-E60,2)&lt;&gt;0,"El datáfono no cuadra con la tarjeta",""),""))</f>
        <v/>
      </c>
      <c r="Q60" s="4" t="n"/>
    </row>
    <row r="61">
      <c r="A61" s="7" t="n"/>
      <c r="B61" t="str">
        <f>IF(ISNUMBER(A61),CHOOSE(WEEKDAY(A61,2),"lunes","martes","miércoles","jueves","viernes","sábado","domingo"),"")</f>
        <v/>
      </c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8" t="str">
        <f>IF(AND(ISNUMBER(A61),COUNT(D61:F61)&gt;0),N(D61)+N(E61)+N(F61),"")</f>
        <v/>
      </c>
      <c r="M61" s="8" t="str">
        <f>IF(AND(ISNUMBER(L61),ISNUMBER($C$5),$C$5&gt;=0),ROUND(L61/(1+$C$5/100),2),"")</f>
        <v/>
      </c>
      <c r="N61" s="8" t="str">
        <f>IF(AND(ISNUMBER(A61),COUNT(C61:D61)&gt;0),N(C61)+N(D61)-N(G61)-N(H61),"")</f>
        <v/>
      </c>
      <c r="O61" s="8" t="str">
        <f>IF(AND(ISNUMBER(N61),ISNUMBER(I61)),ROUND(I61-N61,2),"")</f>
        <v/>
      </c>
      <c r="P61" s="9" t="str">
        <f>IF(ISNUMBER(O61),IF(AND(ISNUMBER($G$5),ABS(O61)&gt;$G$5),"Revisa el descuadre",IF(AND(ISNUMBER(J61),ISNUMBER(E61)),IF(ROUND(J61-E61,2)&lt;&gt;0,"El datáfono no cuadra con la tarjeta",""),"")),IF(AND(ISNUMBER(J61),ISNUMBER(E61)),IF(ROUND(J61-E61,2)&lt;&gt;0,"El datáfono no cuadra con la tarjeta",""),""))</f>
        <v/>
      </c>
      <c r="Q61" s="4" t="n"/>
    </row>
    <row r="62">
      <c r="A62" s="7" t="n"/>
      <c r="B62" t="str">
        <f>IF(ISNUMBER(A62),CHOOSE(WEEKDAY(A62,2),"lunes","martes","miércoles","jueves","viernes","sábado","domingo"),"")</f>
        <v/>
      </c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8" t="str">
        <f>IF(AND(ISNUMBER(A62),COUNT(D62:F62)&gt;0),N(D62)+N(E62)+N(F62),"")</f>
        <v/>
      </c>
      <c r="M62" s="8" t="str">
        <f>IF(AND(ISNUMBER(L62),ISNUMBER($C$5),$C$5&gt;=0),ROUND(L62/(1+$C$5/100),2),"")</f>
        <v/>
      </c>
      <c r="N62" s="8" t="str">
        <f>IF(AND(ISNUMBER(A62),COUNT(C62:D62)&gt;0),N(C62)+N(D62)-N(G62)-N(H62),"")</f>
        <v/>
      </c>
      <c r="O62" s="8" t="str">
        <f>IF(AND(ISNUMBER(N62),ISNUMBER(I62)),ROUND(I62-N62,2),"")</f>
        <v/>
      </c>
      <c r="P62" s="9" t="str">
        <f>IF(ISNUMBER(O62),IF(AND(ISNUMBER($G$5),ABS(O62)&gt;$G$5),"Revisa el descuadre",IF(AND(ISNUMBER(J62),ISNUMBER(E62)),IF(ROUND(J62-E62,2)&lt;&gt;0,"El datáfono no cuadra con la tarjeta",""),"")),IF(AND(ISNUMBER(J62),ISNUMBER(E62)),IF(ROUND(J62-E62,2)&lt;&gt;0,"El datáfono no cuadra con la tarjeta",""),""))</f>
        <v/>
      </c>
      <c r="Q62" s="4" t="n"/>
    </row>
    <row r="63">
      <c r="A63" s="7" t="n"/>
      <c r="B63" t="str">
        <f>IF(ISNUMBER(A63),CHOOSE(WEEKDAY(A63,2),"lunes","martes","miércoles","jueves","viernes","sábado","domingo"),"")</f>
        <v/>
      </c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8" t="str">
        <f>IF(AND(ISNUMBER(A63),COUNT(D63:F63)&gt;0),N(D63)+N(E63)+N(F63),"")</f>
        <v/>
      </c>
      <c r="M63" s="8" t="str">
        <f>IF(AND(ISNUMBER(L63),ISNUMBER($C$5),$C$5&gt;=0),ROUND(L63/(1+$C$5/100),2),"")</f>
        <v/>
      </c>
      <c r="N63" s="8" t="str">
        <f>IF(AND(ISNUMBER(A63),COUNT(C63:D63)&gt;0),N(C63)+N(D63)-N(G63)-N(H63),"")</f>
        <v/>
      </c>
      <c r="O63" s="8" t="str">
        <f>IF(AND(ISNUMBER(N63),ISNUMBER(I63)),ROUND(I63-N63,2),"")</f>
        <v/>
      </c>
      <c r="P63" s="9" t="str">
        <f>IF(ISNUMBER(O63),IF(AND(ISNUMBER($G$5),ABS(O63)&gt;$G$5),"Revisa el descuadre",IF(AND(ISNUMBER(J63),ISNUMBER(E63)),IF(ROUND(J63-E63,2)&lt;&gt;0,"El datáfono no cuadra con la tarjeta",""),"")),IF(AND(ISNUMBER(J63),ISNUMBER(E63)),IF(ROUND(J63-E63,2)&lt;&gt;0,"El datáfono no cuadra con la tarjeta",""),""))</f>
        <v/>
      </c>
      <c r="Q63" s="4" t="n"/>
    </row>
    <row r="64">
      <c r="A64" s="7" t="n"/>
      <c r="B64" t="str">
        <f>IF(ISNUMBER(A64),CHOOSE(WEEKDAY(A64,2),"lunes","martes","miércoles","jueves","viernes","sábado","domingo"),"")</f>
        <v/>
      </c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8" t="str">
        <f>IF(AND(ISNUMBER(A64),COUNT(D64:F64)&gt;0),N(D64)+N(E64)+N(F64),"")</f>
        <v/>
      </c>
      <c r="M64" s="8" t="str">
        <f>IF(AND(ISNUMBER(L64),ISNUMBER($C$5),$C$5&gt;=0),ROUND(L64/(1+$C$5/100),2),"")</f>
        <v/>
      </c>
      <c r="N64" s="8" t="str">
        <f>IF(AND(ISNUMBER(A64),COUNT(C64:D64)&gt;0),N(C64)+N(D64)-N(G64)-N(H64),"")</f>
        <v/>
      </c>
      <c r="O64" s="8" t="str">
        <f>IF(AND(ISNUMBER(N64),ISNUMBER(I64)),ROUND(I64-N64,2),"")</f>
        <v/>
      </c>
      <c r="P64" s="9" t="str">
        <f>IF(ISNUMBER(O64),IF(AND(ISNUMBER($G$5),ABS(O64)&gt;$G$5),"Revisa el descuadre",IF(AND(ISNUMBER(J64),ISNUMBER(E64)),IF(ROUND(J64-E64,2)&lt;&gt;0,"El datáfono no cuadra con la tarjeta",""),"")),IF(AND(ISNUMBER(J64),ISNUMBER(E64)),IF(ROUND(J64-E64,2)&lt;&gt;0,"El datáfono no cuadra con la tarjeta",""),""))</f>
        <v/>
      </c>
      <c r="Q64" s="4" t="n"/>
    </row>
    <row r="65">
      <c r="A65" s="7" t="n"/>
      <c r="B65" t="str">
        <f>IF(ISNUMBER(A65),CHOOSE(WEEKDAY(A65,2),"lunes","martes","miércoles","jueves","viernes","sábado","domingo"),"")</f>
        <v/>
      </c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8" t="str">
        <f>IF(AND(ISNUMBER(A65),COUNT(D65:F65)&gt;0),N(D65)+N(E65)+N(F65),"")</f>
        <v/>
      </c>
      <c r="M65" s="8" t="str">
        <f>IF(AND(ISNUMBER(L65),ISNUMBER($C$5),$C$5&gt;=0),ROUND(L65/(1+$C$5/100),2),"")</f>
        <v/>
      </c>
      <c r="N65" s="8" t="str">
        <f>IF(AND(ISNUMBER(A65),COUNT(C65:D65)&gt;0),N(C65)+N(D65)-N(G65)-N(H65),"")</f>
        <v/>
      </c>
      <c r="O65" s="8" t="str">
        <f>IF(AND(ISNUMBER(N65),ISNUMBER(I65)),ROUND(I65-N65,2),"")</f>
        <v/>
      </c>
      <c r="P65" s="9" t="str">
        <f>IF(ISNUMBER(O65),IF(AND(ISNUMBER($G$5),ABS(O65)&gt;$G$5),"Revisa el descuadre",IF(AND(ISNUMBER(J65),ISNUMBER(E65)),IF(ROUND(J65-E65,2)&lt;&gt;0,"El datáfono no cuadra con la tarjeta",""),"")),IF(AND(ISNUMBER(J65),ISNUMBER(E65)),IF(ROUND(J65-E65,2)&lt;&gt;0,"El datáfono no cuadra con la tarjeta",""),""))</f>
        <v/>
      </c>
      <c r="Q65" s="4" t="n"/>
    </row>
    <row r="66">
      <c r="A66" s="7" t="n"/>
      <c r="B66" t="str">
        <f>IF(ISNUMBER(A66),CHOOSE(WEEKDAY(A66,2),"lunes","martes","miércoles","jueves","viernes","sábado","domingo"),"")</f>
        <v/>
      </c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8" t="str">
        <f>IF(AND(ISNUMBER(A66),COUNT(D66:F66)&gt;0),N(D66)+N(E66)+N(F66),"")</f>
        <v/>
      </c>
      <c r="M66" s="8" t="str">
        <f>IF(AND(ISNUMBER(L66),ISNUMBER($C$5),$C$5&gt;=0),ROUND(L66/(1+$C$5/100),2),"")</f>
        <v/>
      </c>
      <c r="N66" s="8" t="str">
        <f>IF(AND(ISNUMBER(A66),COUNT(C66:D66)&gt;0),N(C66)+N(D66)-N(G66)-N(H66),"")</f>
        <v/>
      </c>
      <c r="O66" s="8" t="str">
        <f>IF(AND(ISNUMBER(N66),ISNUMBER(I66)),ROUND(I66-N66,2),"")</f>
        <v/>
      </c>
      <c r="P66" s="9" t="str">
        <f>IF(ISNUMBER(O66),IF(AND(ISNUMBER($G$5),ABS(O66)&gt;$G$5),"Revisa el descuadre",IF(AND(ISNUMBER(J66),ISNUMBER(E66)),IF(ROUND(J66-E66,2)&lt;&gt;0,"El datáfono no cuadra con la tarjeta",""),"")),IF(AND(ISNUMBER(J66),ISNUMBER(E66)),IF(ROUND(J66-E66,2)&lt;&gt;0,"El datáfono no cuadra con la tarjeta",""),""))</f>
        <v/>
      </c>
      <c r="Q66" s="4" t="n"/>
    </row>
    <row r="67">
      <c r="A67" s="7" t="n"/>
      <c r="B67" t="str">
        <f>IF(ISNUMBER(A67),CHOOSE(WEEKDAY(A67,2),"lunes","martes","miércoles","jueves","viernes","sábado","domingo"),"")</f>
        <v/>
      </c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8" t="str">
        <f>IF(AND(ISNUMBER(A67),COUNT(D67:F67)&gt;0),N(D67)+N(E67)+N(F67),"")</f>
        <v/>
      </c>
      <c r="M67" s="8" t="str">
        <f>IF(AND(ISNUMBER(L67),ISNUMBER($C$5),$C$5&gt;=0),ROUND(L67/(1+$C$5/100),2),"")</f>
        <v/>
      </c>
      <c r="N67" s="8" t="str">
        <f>IF(AND(ISNUMBER(A67),COUNT(C67:D67)&gt;0),N(C67)+N(D67)-N(G67)-N(H67),"")</f>
        <v/>
      </c>
      <c r="O67" s="8" t="str">
        <f>IF(AND(ISNUMBER(N67),ISNUMBER(I67)),ROUND(I67-N67,2),"")</f>
        <v/>
      </c>
      <c r="P67" s="9" t="str">
        <f>IF(ISNUMBER(O67),IF(AND(ISNUMBER($G$5),ABS(O67)&gt;$G$5),"Revisa el descuadre",IF(AND(ISNUMBER(J67),ISNUMBER(E67)),IF(ROUND(J67-E67,2)&lt;&gt;0,"El datáfono no cuadra con la tarjeta",""),"")),IF(AND(ISNUMBER(J67),ISNUMBER(E67)),IF(ROUND(J67-E67,2)&lt;&gt;0,"El datáfono no cuadra con la tarjeta",""),""))</f>
        <v/>
      </c>
      <c r="Q67" s="4" t="n"/>
    </row>
    <row r="68">
      <c r="A68" s="7" t="n"/>
      <c r="B68" t="str">
        <f>IF(ISNUMBER(A68),CHOOSE(WEEKDAY(A68,2),"lunes","martes","miércoles","jueves","viernes","sábado","domingo"),"")</f>
        <v/>
      </c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8" t="str">
        <f>IF(AND(ISNUMBER(A68),COUNT(D68:F68)&gt;0),N(D68)+N(E68)+N(F68),"")</f>
        <v/>
      </c>
      <c r="M68" s="8" t="str">
        <f>IF(AND(ISNUMBER(L68),ISNUMBER($C$5),$C$5&gt;=0),ROUND(L68/(1+$C$5/100),2),"")</f>
        <v/>
      </c>
      <c r="N68" s="8" t="str">
        <f>IF(AND(ISNUMBER(A68),COUNT(C68:D68)&gt;0),N(C68)+N(D68)-N(G68)-N(H68),"")</f>
        <v/>
      </c>
      <c r="O68" s="8" t="str">
        <f>IF(AND(ISNUMBER(N68),ISNUMBER(I68)),ROUND(I68-N68,2),"")</f>
        <v/>
      </c>
      <c r="P68" s="9" t="str">
        <f>IF(ISNUMBER(O68),IF(AND(ISNUMBER($G$5),ABS(O68)&gt;$G$5),"Revisa el descuadre",IF(AND(ISNUMBER(J68),ISNUMBER(E68)),IF(ROUND(J68-E68,2)&lt;&gt;0,"El datáfono no cuadra con la tarjeta",""),"")),IF(AND(ISNUMBER(J68),ISNUMBER(E68)),IF(ROUND(J68-E68,2)&lt;&gt;0,"El datáfono no cuadra con la tarjeta",""),""))</f>
        <v/>
      </c>
      <c r="Q68" s="4" t="n"/>
    </row>
    <row r="69">
      <c r="A69" s="7" t="n"/>
      <c r="B69" t="str">
        <f>IF(ISNUMBER(A69),CHOOSE(WEEKDAY(A69,2),"lunes","martes","miércoles","jueves","viernes","sábado","domingo"),"")</f>
        <v/>
      </c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8" t="str">
        <f>IF(AND(ISNUMBER(A69),COUNT(D69:F69)&gt;0),N(D69)+N(E69)+N(F69),"")</f>
        <v/>
      </c>
      <c r="M69" s="8" t="str">
        <f>IF(AND(ISNUMBER(L69),ISNUMBER($C$5),$C$5&gt;=0),ROUND(L69/(1+$C$5/100),2),"")</f>
        <v/>
      </c>
      <c r="N69" s="8" t="str">
        <f>IF(AND(ISNUMBER(A69),COUNT(C69:D69)&gt;0),N(C69)+N(D69)-N(G69)-N(H69),"")</f>
        <v/>
      </c>
      <c r="O69" s="8" t="str">
        <f>IF(AND(ISNUMBER(N69),ISNUMBER(I69)),ROUND(I69-N69,2),"")</f>
        <v/>
      </c>
      <c r="P69" s="9" t="str">
        <f>IF(ISNUMBER(O69),IF(AND(ISNUMBER($G$5),ABS(O69)&gt;$G$5),"Revisa el descuadre",IF(AND(ISNUMBER(J69),ISNUMBER(E69)),IF(ROUND(J69-E69,2)&lt;&gt;0,"El datáfono no cuadra con la tarjeta",""),"")),IF(AND(ISNUMBER(J69),ISNUMBER(E69)),IF(ROUND(J69-E69,2)&lt;&gt;0,"El datáfono no cuadra con la tarjeta",""),""))</f>
        <v/>
      </c>
      <c r="Q69" s="4" t="n"/>
    </row>
    <row r="70">
      <c r="A70" s="7" t="n"/>
      <c r="B70" t="str">
        <f>IF(ISNUMBER(A70),CHOOSE(WEEKDAY(A70,2),"lunes","martes","miércoles","jueves","viernes","sábado","domingo"),"")</f>
        <v/>
      </c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8" t="str">
        <f>IF(AND(ISNUMBER(A70),COUNT(D70:F70)&gt;0),N(D70)+N(E70)+N(F70),"")</f>
        <v/>
      </c>
      <c r="M70" s="8" t="str">
        <f>IF(AND(ISNUMBER(L70),ISNUMBER($C$5),$C$5&gt;=0),ROUND(L70/(1+$C$5/100),2),"")</f>
        <v/>
      </c>
      <c r="N70" s="8" t="str">
        <f>IF(AND(ISNUMBER(A70),COUNT(C70:D70)&gt;0),N(C70)+N(D70)-N(G70)-N(H70),"")</f>
        <v/>
      </c>
      <c r="O70" s="8" t="str">
        <f>IF(AND(ISNUMBER(N70),ISNUMBER(I70)),ROUND(I70-N70,2),"")</f>
        <v/>
      </c>
      <c r="P70" s="9" t="str">
        <f>IF(ISNUMBER(O70),IF(AND(ISNUMBER($G$5),ABS(O70)&gt;$G$5),"Revisa el descuadre",IF(AND(ISNUMBER(J70),ISNUMBER(E70)),IF(ROUND(J70-E70,2)&lt;&gt;0,"El datáfono no cuadra con la tarjeta",""),"")),IF(AND(ISNUMBER(J70),ISNUMBER(E70)),IF(ROUND(J70-E70,2)&lt;&gt;0,"El datáfono no cuadra con la tarjeta",""),""))</f>
        <v/>
      </c>
      <c r="Q70" s="4" t="n"/>
    </row>
    <row r="71">
      <c r="A71" s="7" t="n"/>
      <c r="B71" t="str">
        <f>IF(ISNUMBER(A71),CHOOSE(WEEKDAY(A71,2),"lunes","martes","miércoles","jueves","viernes","sábado","domingo"),"")</f>
        <v/>
      </c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8" t="str">
        <f>IF(AND(ISNUMBER(A71),COUNT(D71:F71)&gt;0),N(D71)+N(E71)+N(F71),"")</f>
        <v/>
      </c>
      <c r="M71" s="8" t="str">
        <f>IF(AND(ISNUMBER(L71),ISNUMBER($C$5),$C$5&gt;=0),ROUND(L71/(1+$C$5/100),2),"")</f>
        <v/>
      </c>
      <c r="N71" s="8" t="str">
        <f>IF(AND(ISNUMBER(A71),COUNT(C71:D71)&gt;0),N(C71)+N(D71)-N(G71)-N(H71),"")</f>
        <v/>
      </c>
      <c r="O71" s="8" t="str">
        <f>IF(AND(ISNUMBER(N71),ISNUMBER(I71)),ROUND(I71-N71,2),"")</f>
        <v/>
      </c>
      <c r="P71" s="9" t="str">
        <f>IF(ISNUMBER(O71),IF(AND(ISNUMBER($G$5),ABS(O71)&gt;$G$5),"Revisa el descuadre",IF(AND(ISNUMBER(J71),ISNUMBER(E71)),IF(ROUND(J71-E71,2)&lt;&gt;0,"El datáfono no cuadra con la tarjeta",""),"")),IF(AND(ISNUMBER(J71),ISNUMBER(E71)),IF(ROUND(J71-E71,2)&lt;&gt;0,"El datáfono no cuadra con la tarjeta",""),""))</f>
        <v/>
      </c>
      <c r="Q71" s="4" t="n"/>
    </row>
    <row r="72">
      <c r="A72" s="7" t="n"/>
      <c r="B72" t="str">
        <f>IF(ISNUMBER(A72),CHOOSE(WEEKDAY(A72,2),"lunes","martes","miércoles","jueves","viernes","sábado","domingo"),"")</f>
        <v/>
      </c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8" t="str">
        <f>IF(AND(ISNUMBER(A72),COUNT(D72:F72)&gt;0),N(D72)+N(E72)+N(F72),"")</f>
        <v/>
      </c>
      <c r="M72" s="8" t="str">
        <f>IF(AND(ISNUMBER(L72),ISNUMBER($C$5),$C$5&gt;=0),ROUND(L72/(1+$C$5/100),2),"")</f>
        <v/>
      </c>
      <c r="N72" s="8" t="str">
        <f>IF(AND(ISNUMBER(A72),COUNT(C72:D72)&gt;0),N(C72)+N(D72)-N(G72)-N(H72),"")</f>
        <v/>
      </c>
      <c r="O72" s="8" t="str">
        <f>IF(AND(ISNUMBER(N72),ISNUMBER(I72)),ROUND(I72-N72,2),"")</f>
        <v/>
      </c>
      <c r="P72" s="9" t="str">
        <f>IF(ISNUMBER(O72),IF(AND(ISNUMBER($G$5),ABS(O72)&gt;$G$5),"Revisa el descuadre",IF(AND(ISNUMBER(J72),ISNUMBER(E72)),IF(ROUND(J72-E72,2)&lt;&gt;0,"El datáfono no cuadra con la tarjeta",""),"")),IF(AND(ISNUMBER(J72),ISNUMBER(E72)),IF(ROUND(J72-E72,2)&lt;&gt;0,"El datáfono no cuadra con la tarjeta",""),""))</f>
        <v/>
      </c>
      <c r="Q72" s="4" t="n"/>
    </row>
    <row r="73">
      <c r="A73" s="7" t="n"/>
      <c r="B73" t="str">
        <f>IF(ISNUMBER(A73),CHOOSE(WEEKDAY(A73,2),"lunes","martes","miércoles","jueves","viernes","sábado","domingo"),"")</f>
        <v/>
      </c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8" t="str">
        <f>IF(AND(ISNUMBER(A73),COUNT(D73:F73)&gt;0),N(D73)+N(E73)+N(F73),"")</f>
        <v/>
      </c>
      <c r="M73" s="8" t="str">
        <f>IF(AND(ISNUMBER(L73),ISNUMBER($C$5),$C$5&gt;=0),ROUND(L73/(1+$C$5/100),2),"")</f>
        <v/>
      </c>
      <c r="N73" s="8" t="str">
        <f>IF(AND(ISNUMBER(A73),COUNT(C73:D73)&gt;0),N(C73)+N(D73)-N(G73)-N(H73),"")</f>
        <v/>
      </c>
      <c r="O73" s="8" t="str">
        <f>IF(AND(ISNUMBER(N73),ISNUMBER(I73)),ROUND(I73-N73,2),"")</f>
        <v/>
      </c>
      <c r="P73" s="9" t="str">
        <f>IF(ISNUMBER(O73),IF(AND(ISNUMBER($G$5),ABS(O73)&gt;$G$5),"Revisa el descuadre",IF(AND(ISNUMBER(J73),ISNUMBER(E73)),IF(ROUND(J73-E73,2)&lt;&gt;0,"El datáfono no cuadra con la tarjeta",""),"")),IF(AND(ISNUMBER(J73),ISNUMBER(E73)),IF(ROUND(J73-E73,2)&lt;&gt;0,"El datáfono no cuadra con la tarjeta",""),""))</f>
        <v/>
      </c>
      <c r="Q73" s="4" t="n"/>
    </row>
    <row r="74">
      <c r="A74" s="7" t="n"/>
      <c r="B74" t="str">
        <f>IF(ISNUMBER(A74),CHOOSE(WEEKDAY(A74,2),"lunes","martes","miércoles","jueves","viernes","sábado","domingo"),"")</f>
        <v/>
      </c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8" t="str">
        <f>IF(AND(ISNUMBER(A74),COUNT(D74:F74)&gt;0),N(D74)+N(E74)+N(F74),"")</f>
        <v/>
      </c>
      <c r="M74" s="8" t="str">
        <f>IF(AND(ISNUMBER(L74),ISNUMBER($C$5),$C$5&gt;=0),ROUND(L74/(1+$C$5/100),2),"")</f>
        <v/>
      </c>
      <c r="N74" s="8" t="str">
        <f>IF(AND(ISNUMBER(A74),COUNT(C74:D74)&gt;0),N(C74)+N(D74)-N(G74)-N(H74),"")</f>
        <v/>
      </c>
      <c r="O74" s="8" t="str">
        <f>IF(AND(ISNUMBER(N74),ISNUMBER(I74)),ROUND(I74-N74,2),"")</f>
        <v/>
      </c>
      <c r="P74" s="9" t="str">
        <f>IF(ISNUMBER(O74),IF(AND(ISNUMBER($G$5),ABS(O74)&gt;$G$5),"Revisa el descuadre",IF(AND(ISNUMBER(J74),ISNUMBER(E74)),IF(ROUND(J74-E74,2)&lt;&gt;0,"El datáfono no cuadra con la tarjeta",""),"")),IF(AND(ISNUMBER(J74),ISNUMBER(E74)),IF(ROUND(J74-E74,2)&lt;&gt;0,"El datáfono no cuadra con la tarjeta",""),""))</f>
        <v/>
      </c>
      <c r="Q74" s="4" t="n"/>
    </row>
    <row r="75">
      <c r="A75" s="7" t="n"/>
      <c r="B75" t="str">
        <f>IF(ISNUMBER(A75),CHOOSE(WEEKDAY(A75,2),"lunes","martes","miércoles","jueves","viernes","sábado","domingo"),"")</f>
        <v/>
      </c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8" t="str">
        <f>IF(AND(ISNUMBER(A75),COUNT(D75:F75)&gt;0),N(D75)+N(E75)+N(F75),"")</f>
        <v/>
      </c>
      <c r="M75" s="8" t="str">
        <f>IF(AND(ISNUMBER(L75),ISNUMBER($C$5),$C$5&gt;=0),ROUND(L75/(1+$C$5/100),2),"")</f>
        <v/>
      </c>
      <c r="N75" s="8" t="str">
        <f>IF(AND(ISNUMBER(A75),COUNT(C75:D75)&gt;0),N(C75)+N(D75)-N(G75)-N(H75),"")</f>
        <v/>
      </c>
      <c r="O75" s="8" t="str">
        <f>IF(AND(ISNUMBER(N75),ISNUMBER(I75)),ROUND(I75-N75,2),"")</f>
        <v/>
      </c>
      <c r="P75" s="9" t="str">
        <f>IF(ISNUMBER(O75),IF(AND(ISNUMBER($G$5),ABS(O75)&gt;$G$5),"Revisa el descuadre",IF(AND(ISNUMBER(J75),ISNUMBER(E75)),IF(ROUND(J75-E75,2)&lt;&gt;0,"El datáfono no cuadra con la tarjeta",""),"")),IF(AND(ISNUMBER(J75),ISNUMBER(E75)),IF(ROUND(J75-E75,2)&lt;&gt;0,"El datáfono no cuadra con la tarjeta",""),""))</f>
        <v/>
      </c>
      <c r="Q75" s="4" t="n"/>
    </row>
    <row r="76">
      <c r="A76" s="7" t="n"/>
      <c r="B76" t="str">
        <f>IF(ISNUMBER(A76),CHOOSE(WEEKDAY(A76,2),"lunes","martes","miércoles","jueves","viernes","sábado","domingo"),"")</f>
        <v/>
      </c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8" t="str">
        <f>IF(AND(ISNUMBER(A76),COUNT(D76:F76)&gt;0),N(D76)+N(E76)+N(F76),"")</f>
        <v/>
      </c>
      <c r="M76" s="8" t="str">
        <f>IF(AND(ISNUMBER(L76),ISNUMBER($C$5),$C$5&gt;=0),ROUND(L76/(1+$C$5/100),2),"")</f>
        <v/>
      </c>
      <c r="N76" s="8" t="str">
        <f>IF(AND(ISNUMBER(A76),COUNT(C76:D76)&gt;0),N(C76)+N(D76)-N(G76)-N(H76),"")</f>
        <v/>
      </c>
      <c r="O76" s="8" t="str">
        <f>IF(AND(ISNUMBER(N76),ISNUMBER(I76)),ROUND(I76-N76,2),"")</f>
        <v/>
      </c>
      <c r="P76" s="9" t="str">
        <f>IF(ISNUMBER(O76),IF(AND(ISNUMBER($G$5),ABS(O76)&gt;$G$5),"Revisa el descuadre",IF(AND(ISNUMBER(J76),ISNUMBER(E76)),IF(ROUND(J76-E76,2)&lt;&gt;0,"El datáfono no cuadra con la tarjeta",""),"")),IF(AND(ISNUMBER(J76),ISNUMBER(E76)),IF(ROUND(J76-E76,2)&lt;&gt;0,"El datáfono no cuadra con la tarjeta",""),""))</f>
        <v/>
      </c>
      <c r="Q76" s="4" t="n"/>
    </row>
    <row r="77">
      <c r="A77" s="7" t="n"/>
      <c r="B77" t="str">
        <f>IF(ISNUMBER(A77),CHOOSE(WEEKDAY(A77,2),"lunes","martes","miércoles","jueves","viernes","sábado","domingo"),"")</f>
        <v/>
      </c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8" t="str">
        <f>IF(AND(ISNUMBER(A77),COUNT(D77:F77)&gt;0),N(D77)+N(E77)+N(F77),"")</f>
        <v/>
      </c>
      <c r="M77" s="8" t="str">
        <f>IF(AND(ISNUMBER(L77),ISNUMBER($C$5),$C$5&gt;=0),ROUND(L77/(1+$C$5/100),2),"")</f>
        <v/>
      </c>
      <c r="N77" s="8" t="str">
        <f>IF(AND(ISNUMBER(A77),COUNT(C77:D77)&gt;0),N(C77)+N(D77)-N(G77)-N(H77),"")</f>
        <v/>
      </c>
      <c r="O77" s="8" t="str">
        <f>IF(AND(ISNUMBER(N77),ISNUMBER(I77)),ROUND(I77-N77,2),"")</f>
        <v/>
      </c>
      <c r="P77" s="9" t="str">
        <f>IF(ISNUMBER(O77),IF(AND(ISNUMBER($G$5),ABS(O77)&gt;$G$5),"Revisa el descuadre",IF(AND(ISNUMBER(J77),ISNUMBER(E77)),IF(ROUND(J77-E77,2)&lt;&gt;0,"El datáfono no cuadra con la tarjeta",""),"")),IF(AND(ISNUMBER(J77),ISNUMBER(E77)),IF(ROUND(J77-E77,2)&lt;&gt;0,"El datáfono no cuadra con la tarjeta",""),""))</f>
        <v/>
      </c>
      <c r="Q77" s="4" t="n"/>
    </row>
    <row r="78">
      <c r="A78" s="7" t="n"/>
      <c r="B78" t="str">
        <f>IF(ISNUMBER(A78),CHOOSE(WEEKDAY(A78,2),"lunes","martes","miércoles","jueves","viernes","sábado","domingo"),"")</f>
        <v/>
      </c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8" t="str">
        <f>IF(AND(ISNUMBER(A78),COUNT(D78:F78)&gt;0),N(D78)+N(E78)+N(F78),"")</f>
        <v/>
      </c>
      <c r="M78" s="8" t="str">
        <f>IF(AND(ISNUMBER(L78),ISNUMBER($C$5),$C$5&gt;=0),ROUND(L78/(1+$C$5/100),2),"")</f>
        <v/>
      </c>
      <c r="N78" s="8" t="str">
        <f>IF(AND(ISNUMBER(A78),COUNT(C78:D78)&gt;0),N(C78)+N(D78)-N(G78)-N(H78),"")</f>
        <v/>
      </c>
      <c r="O78" s="8" t="str">
        <f>IF(AND(ISNUMBER(N78),ISNUMBER(I78)),ROUND(I78-N78,2),"")</f>
        <v/>
      </c>
      <c r="P78" s="9" t="str">
        <f>IF(ISNUMBER(O78),IF(AND(ISNUMBER($G$5),ABS(O78)&gt;$G$5),"Revisa el descuadre",IF(AND(ISNUMBER(J78),ISNUMBER(E78)),IF(ROUND(J78-E78,2)&lt;&gt;0,"El datáfono no cuadra con la tarjeta",""),"")),IF(AND(ISNUMBER(J78),ISNUMBER(E78)),IF(ROUND(J78-E78,2)&lt;&gt;0,"El datáfono no cuadra con la tarjeta",""),""))</f>
        <v/>
      </c>
      <c r="Q78" s="4" t="n"/>
    </row>
    <row r="79">
      <c r="A79" s="7" t="n"/>
      <c r="B79" t="str">
        <f>IF(ISNUMBER(A79),CHOOSE(WEEKDAY(A79,2),"lunes","martes","miércoles","jueves","viernes","sábado","domingo"),"")</f>
        <v/>
      </c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8" t="str">
        <f>IF(AND(ISNUMBER(A79),COUNT(D79:F79)&gt;0),N(D79)+N(E79)+N(F79),"")</f>
        <v/>
      </c>
      <c r="M79" s="8" t="str">
        <f>IF(AND(ISNUMBER(L79),ISNUMBER($C$5),$C$5&gt;=0),ROUND(L79/(1+$C$5/100),2),"")</f>
        <v/>
      </c>
      <c r="N79" s="8" t="str">
        <f>IF(AND(ISNUMBER(A79),COUNT(C79:D79)&gt;0),N(C79)+N(D79)-N(G79)-N(H79),"")</f>
        <v/>
      </c>
      <c r="O79" s="8" t="str">
        <f>IF(AND(ISNUMBER(N79),ISNUMBER(I79)),ROUND(I79-N79,2),"")</f>
        <v/>
      </c>
      <c r="P79" s="9" t="str">
        <f>IF(ISNUMBER(O79),IF(AND(ISNUMBER($G$5),ABS(O79)&gt;$G$5),"Revisa el descuadre",IF(AND(ISNUMBER(J79),ISNUMBER(E79)),IF(ROUND(J79-E79,2)&lt;&gt;0,"El datáfono no cuadra con la tarjeta",""),"")),IF(AND(ISNUMBER(J79),ISNUMBER(E79)),IF(ROUND(J79-E79,2)&lt;&gt;0,"El datáfono no cuadra con la tarjeta",""),""))</f>
        <v/>
      </c>
      <c r="Q79" s="4" t="n"/>
    </row>
    <row r="80">
      <c r="A80" s="7" t="n"/>
      <c r="B80" t="str">
        <f>IF(ISNUMBER(A80),CHOOSE(WEEKDAY(A80,2),"lunes","martes","miércoles","jueves","viernes","sábado","domingo"),"")</f>
        <v/>
      </c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8" t="str">
        <f>IF(AND(ISNUMBER(A80),COUNT(D80:F80)&gt;0),N(D80)+N(E80)+N(F80),"")</f>
        <v/>
      </c>
      <c r="M80" s="8" t="str">
        <f>IF(AND(ISNUMBER(L80),ISNUMBER($C$5),$C$5&gt;=0),ROUND(L80/(1+$C$5/100),2),"")</f>
        <v/>
      </c>
      <c r="N80" s="8" t="str">
        <f>IF(AND(ISNUMBER(A80),COUNT(C80:D80)&gt;0),N(C80)+N(D80)-N(G80)-N(H80),"")</f>
        <v/>
      </c>
      <c r="O80" s="8" t="str">
        <f>IF(AND(ISNUMBER(N80),ISNUMBER(I80)),ROUND(I80-N80,2),"")</f>
        <v/>
      </c>
      <c r="P80" s="9" t="str">
        <f>IF(ISNUMBER(O80),IF(AND(ISNUMBER($G$5),ABS(O80)&gt;$G$5),"Revisa el descuadre",IF(AND(ISNUMBER(J80),ISNUMBER(E80)),IF(ROUND(J80-E80,2)&lt;&gt;0,"El datáfono no cuadra con la tarjeta",""),"")),IF(AND(ISNUMBER(J80),ISNUMBER(E80)),IF(ROUND(J80-E80,2)&lt;&gt;0,"El datáfono no cuadra con la tarjeta",""),""))</f>
        <v/>
      </c>
      <c r="Q80" s="4" t="n"/>
    </row>
    <row r="81">
      <c r="A81" s="7" t="n"/>
      <c r="B81" t="str">
        <f>IF(ISNUMBER(A81),CHOOSE(WEEKDAY(A81,2),"lunes","martes","miércoles","jueves","viernes","sábado","domingo"),"")</f>
        <v/>
      </c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8" t="str">
        <f>IF(AND(ISNUMBER(A81),COUNT(D81:F81)&gt;0),N(D81)+N(E81)+N(F81),"")</f>
        <v/>
      </c>
      <c r="M81" s="8" t="str">
        <f>IF(AND(ISNUMBER(L81),ISNUMBER($C$5),$C$5&gt;=0),ROUND(L81/(1+$C$5/100),2),"")</f>
        <v/>
      </c>
      <c r="N81" s="8" t="str">
        <f>IF(AND(ISNUMBER(A81),COUNT(C81:D81)&gt;0),N(C81)+N(D81)-N(G81)-N(H81),"")</f>
        <v/>
      </c>
      <c r="O81" s="8" t="str">
        <f>IF(AND(ISNUMBER(N81),ISNUMBER(I81)),ROUND(I81-N81,2),"")</f>
        <v/>
      </c>
      <c r="P81" s="9" t="str">
        <f>IF(ISNUMBER(O81),IF(AND(ISNUMBER($G$5),ABS(O81)&gt;$G$5),"Revisa el descuadre",IF(AND(ISNUMBER(J81),ISNUMBER(E81)),IF(ROUND(J81-E81,2)&lt;&gt;0,"El datáfono no cuadra con la tarjeta",""),"")),IF(AND(ISNUMBER(J81),ISNUMBER(E81)),IF(ROUND(J81-E81,2)&lt;&gt;0,"El datáfono no cuadra con la tarjeta",""),""))</f>
        <v/>
      </c>
      <c r="Q81" s="4" t="n"/>
    </row>
    <row r="82">
      <c r="A82" s="7" t="n"/>
      <c r="B82" t="str">
        <f>IF(ISNUMBER(A82),CHOOSE(WEEKDAY(A82,2),"lunes","martes","miércoles","jueves","viernes","sábado","domingo"),"")</f>
        <v/>
      </c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8" t="str">
        <f>IF(AND(ISNUMBER(A82),COUNT(D82:F82)&gt;0),N(D82)+N(E82)+N(F82),"")</f>
        <v/>
      </c>
      <c r="M82" s="8" t="str">
        <f>IF(AND(ISNUMBER(L82),ISNUMBER($C$5),$C$5&gt;=0),ROUND(L82/(1+$C$5/100),2),"")</f>
        <v/>
      </c>
      <c r="N82" s="8" t="str">
        <f>IF(AND(ISNUMBER(A82),COUNT(C82:D82)&gt;0),N(C82)+N(D82)-N(G82)-N(H82),"")</f>
        <v/>
      </c>
      <c r="O82" s="8" t="str">
        <f>IF(AND(ISNUMBER(N82),ISNUMBER(I82)),ROUND(I82-N82,2),"")</f>
        <v/>
      </c>
      <c r="P82" s="9" t="str">
        <f>IF(ISNUMBER(O82),IF(AND(ISNUMBER($G$5),ABS(O82)&gt;$G$5),"Revisa el descuadre",IF(AND(ISNUMBER(J82),ISNUMBER(E82)),IF(ROUND(J82-E82,2)&lt;&gt;0,"El datáfono no cuadra con la tarjeta",""),"")),IF(AND(ISNUMBER(J82),ISNUMBER(E82)),IF(ROUND(J82-E82,2)&lt;&gt;0,"El datáfono no cuadra con la tarjeta",""),""))</f>
        <v/>
      </c>
      <c r="Q82" s="4" t="n"/>
    </row>
    <row r="83">
      <c r="A83" s="7" t="n"/>
      <c r="B83" t="str">
        <f>IF(ISNUMBER(A83),CHOOSE(WEEKDAY(A83,2),"lunes","martes","miércoles","jueves","viernes","sábado","domingo"),"")</f>
        <v/>
      </c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8" t="str">
        <f>IF(AND(ISNUMBER(A83),COUNT(D83:F83)&gt;0),N(D83)+N(E83)+N(F83),"")</f>
        <v/>
      </c>
      <c r="M83" s="8" t="str">
        <f>IF(AND(ISNUMBER(L83),ISNUMBER($C$5),$C$5&gt;=0),ROUND(L83/(1+$C$5/100),2),"")</f>
        <v/>
      </c>
      <c r="N83" s="8" t="str">
        <f>IF(AND(ISNUMBER(A83),COUNT(C83:D83)&gt;0),N(C83)+N(D83)-N(G83)-N(H83),"")</f>
        <v/>
      </c>
      <c r="O83" s="8" t="str">
        <f>IF(AND(ISNUMBER(N83),ISNUMBER(I83)),ROUND(I83-N83,2),"")</f>
        <v/>
      </c>
      <c r="P83" s="9" t="str">
        <f>IF(ISNUMBER(O83),IF(AND(ISNUMBER($G$5),ABS(O83)&gt;$G$5),"Revisa el descuadre",IF(AND(ISNUMBER(J83),ISNUMBER(E83)),IF(ROUND(J83-E83,2)&lt;&gt;0,"El datáfono no cuadra con la tarjeta",""),"")),IF(AND(ISNUMBER(J83),ISNUMBER(E83)),IF(ROUND(J83-E83,2)&lt;&gt;0,"El datáfono no cuadra con la tarjeta",""),""))</f>
        <v/>
      </c>
      <c r="Q83" s="4" t="n"/>
    </row>
    <row r="84">
      <c r="A84" s="7" t="n"/>
      <c r="B84" t="str">
        <f>IF(ISNUMBER(A84),CHOOSE(WEEKDAY(A84,2),"lunes","martes","miércoles","jueves","viernes","sábado","domingo"),"")</f>
        <v/>
      </c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8" t="str">
        <f>IF(AND(ISNUMBER(A84),COUNT(D84:F84)&gt;0),N(D84)+N(E84)+N(F84),"")</f>
        <v/>
      </c>
      <c r="M84" s="8" t="str">
        <f>IF(AND(ISNUMBER(L84),ISNUMBER($C$5),$C$5&gt;=0),ROUND(L84/(1+$C$5/100),2),"")</f>
        <v/>
      </c>
      <c r="N84" s="8" t="str">
        <f>IF(AND(ISNUMBER(A84),COUNT(C84:D84)&gt;0),N(C84)+N(D84)-N(G84)-N(H84),"")</f>
        <v/>
      </c>
      <c r="O84" s="8" t="str">
        <f>IF(AND(ISNUMBER(N84),ISNUMBER(I84)),ROUND(I84-N84,2),"")</f>
        <v/>
      </c>
      <c r="P84" s="9" t="str">
        <f>IF(ISNUMBER(O84),IF(AND(ISNUMBER($G$5),ABS(O84)&gt;$G$5),"Revisa el descuadre",IF(AND(ISNUMBER(J84),ISNUMBER(E84)),IF(ROUND(J84-E84,2)&lt;&gt;0,"El datáfono no cuadra con la tarjeta",""),"")),IF(AND(ISNUMBER(J84),ISNUMBER(E84)),IF(ROUND(J84-E84,2)&lt;&gt;0,"El datáfono no cuadra con la tarjeta",""),""))</f>
        <v/>
      </c>
      <c r="Q84" s="4" t="n"/>
    </row>
    <row r="85">
      <c r="A85" s="7" t="n"/>
      <c r="B85" t="str">
        <f>IF(ISNUMBER(A85),CHOOSE(WEEKDAY(A85,2),"lunes","martes","miércoles","jueves","viernes","sábado","domingo"),"")</f>
        <v/>
      </c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8" t="str">
        <f>IF(AND(ISNUMBER(A85),COUNT(D85:F85)&gt;0),N(D85)+N(E85)+N(F85),"")</f>
        <v/>
      </c>
      <c r="M85" s="8" t="str">
        <f>IF(AND(ISNUMBER(L85),ISNUMBER($C$5),$C$5&gt;=0),ROUND(L85/(1+$C$5/100),2),"")</f>
        <v/>
      </c>
      <c r="N85" s="8" t="str">
        <f>IF(AND(ISNUMBER(A85),COUNT(C85:D85)&gt;0),N(C85)+N(D85)-N(G85)-N(H85),"")</f>
        <v/>
      </c>
      <c r="O85" s="8" t="str">
        <f>IF(AND(ISNUMBER(N85),ISNUMBER(I85)),ROUND(I85-N85,2),"")</f>
        <v/>
      </c>
      <c r="P85" s="9" t="str">
        <f>IF(ISNUMBER(O85),IF(AND(ISNUMBER($G$5),ABS(O85)&gt;$G$5),"Revisa el descuadre",IF(AND(ISNUMBER(J85),ISNUMBER(E85)),IF(ROUND(J85-E85,2)&lt;&gt;0,"El datáfono no cuadra con la tarjeta",""),"")),IF(AND(ISNUMBER(J85),ISNUMBER(E85)),IF(ROUND(J85-E85,2)&lt;&gt;0,"El datáfono no cuadra con la tarjeta",""),""))</f>
        <v/>
      </c>
      <c r="Q85" s="4" t="n"/>
    </row>
    <row r="86">
      <c r="A86" s="7" t="n"/>
      <c r="B86" t="str">
        <f>IF(ISNUMBER(A86),CHOOSE(WEEKDAY(A86,2),"lunes","martes","miércoles","jueves","viernes","sábado","domingo"),"")</f>
        <v/>
      </c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8" t="str">
        <f>IF(AND(ISNUMBER(A86),COUNT(D86:F86)&gt;0),N(D86)+N(E86)+N(F86),"")</f>
        <v/>
      </c>
      <c r="M86" s="8" t="str">
        <f>IF(AND(ISNUMBER(L86),ISNUMBER($C$5),$C$5&gt;=0),ROUND(L86/(1+$C$5/100),2),"")</f>
        <v/>
      </c>
      <c r="N86" s="8" t="str">
        <f>IF(AND(ISNUMBER(A86),COUNT(C86:D86)&gt;0),N(C86)+N(D86)-N(G86)-N(H86),"")</f>
        <v/>
      </c>
      <c r="O86" s="8" t="str">
        <f>IF(AND(ISNUMBER(N86),ISNUMBER(I86)),ROUND(I86-N86,2),"")</f>
        <v/>
      </c>
      <c r="P86" s="9" t="str">
        <f>IF(ISNUMBER(O86),IF(AND(ISNUMBER($G$5),ABS(O86)&gt;$G$5),"Revisa el descuadre",IF(AND(ISNUMBER(J86),ISNUMBER(E86)),IF(ROUND(J86-E86,2)&lt;&gt;0,"El datáfono no cuadra con la tarjeta",""),"")),IF(AND(ISNUMBER(J86),ISNUMBER(E86)),IF(ROUND(J86-E86,2)&lt;&gt;0,"El datáfono no cuadra con la tarjeta",""),""))</f>
        <v/>
      </c>
      <c r="Q86" s="4" t="n"/>
    </row>
    <row r="87">
      <c r="A87" s="7" t="n"/>
      <c r="B87" t="str">
        <f>IF(ISNUMBER(A87),CHOOSE(WEEKDAY(A87,2),"lunes","martes","miércoles","jueves","viernes","sábado","domingo"),"")</f>
        <v/>
      </c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8" t="str">
        <f>IF(AND(ISNUMBER(A87),COUNT(D87:F87)&gt;0),N(D87)+N(E87)+N(F87),"")</f>
        <v/>
      </c>
      <c r="M87" s="8" t="str">
        <f>IF(AND(ISNUMBER(L87),ISNUMBER($C$5),$C$5&gt;=0),ROUND(L87/(1+$C$5/100),2),"")</f>
        <v/>
      </c>
      <c r="N87" s="8" t="str">
        <f>IF(AND(ISNUMBER(A87),COUNT(C87:D87)&gt;0),N(C87)+N(D87)-N(G87)-N(H87),"")</f>
        <v/>
      </c>
      <c r="O87" s="8" t="str">
        <f>IF(AND(ISNUMBER(N87),ISNUMBER(I87)),ROUND(I87-N87,2),"")</f>
        <v/>
      </c>
      <c r="P87" s="9" t="str">
        <f>IF(ISNUMBER(O87),IF(AND(ISNUMBER($G$5),ABS(O87)&gt;$G$5),"Revisa el descuadre",IF(AND(ISNUMBER(J87),ISNUMBER(E87)),IF(ROUND(J87-E87,2)&lt;&gt;0,"El datáfono no cuadra con la tarjeta",""),"")),IF(AND(ISNUMBER(J87),ISNUMBER(E87)),IF(ROUND(J87-E87,2)&lt;&gt;0,"El datáfono no cuadra con la tarjeta",""),""))</f>
        <v/>
      </c>
      <c r="Q87" s="4" t="n"/>
    </row>
    <row r="88">
      <c r="A88" s="7" t="n"/>
      <c r="B88" t="str">
        <f>IF(ISNUMBER(A88),CHOOSE(WEEKDAY(A88,2),"lunes","martes","miércoles","jueves","viernes","sábado","domingo"),"")</f>
        <v/>
      </c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8" t="str">
        <f>IF(AND(ISNUMBER(A88),COUNT(D88:F88)&gt;0),N(D88)+N(E88)+N(F88),"")</f>
        <v/>
      </c>
      <c r="M88" s="8" t="str">
        <f>IF(AND(ISNUMBER(L88),ISNUMBER($C$5),$C$5&gt;=0),ROUND(L88/(1+$C$5/100),2),"")</f>
        <v/>
      </c>
      <c r="N88" s="8" t="str">
        <f>IF(AND(ISNUMBER(A88),COUNT(C88:D88)&gt;0),N(C88)+N(D88)-N(G88)-N(H88),"")</f>
        <v/>
      </c>
      <c r="O88" s="8" t="str">
        <f>IF(AND(ISNUMBER(N88),ISNUMBER(I88)),ROUND(I88-N88,2),"")</f>
        <v/>
      </c>
      <c r="P88" s="9" t="str">
        <f>IF(ISNUMBER(O88),IF(AND(ISNUMBER($G$5),ABS(O88)&gt;$G$5),"Revisa el descuadre",IF(AND(ISNUMBER(J88),ISNUMBER(E88)),IF(ROUND(J88-E88,2)&lt;&gt;0,"El datáfono no cuadra con la tarjeta",""),"")),IF(AND(ISNUMBER(J88),ISNUMBER(E88)),IF(ROUND(J88-E88,2)&lt;&gt;0,"El datáfono no cuadra con la tarjeta",""),""))</f>
        <v/>
      </c>
      <c r="Q88" s="4" t="n"/>
    </row>
    <row r="89">
      <c r="A89" s="7" t="n"/>
      <c r="B89" t="str">
        <f>IF(ISNUMBER(A89),CHOOSE(WEEKDAY(A89,2),"lunes","martes","miércoles","jueves","viernes","sábado","domingo"),"")</f>
        <v/>
      </c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8" t="str">
        <f>IF(AND(ISNUMBER(A89),COUNT(D89:F89)&gt;0),N(D89)+N(E89)+N(F89),"")</f>
        <v/>
      </c>
      <c r="M89" s="8" t="str">
        <f>IF(AND(ISNUMBER(L89),ISNUMBER($C$5),$C$5&gt;=0),ROUND(L89/(1+$C$5/100),2),"")</f>
        <v/>
      </c>
      <c r="N89" s="8" t="str">
        <f>IF(AND(ISNUMBER(A89),COUNT(C89:D89)&gt;0),N(C89)+N(D89)-N(G89)-N(H89),"")</f>
        <v/>
      </c>
      <c r="O89" s="8" t="str">
        <f>IF(AND(ISNUMBER(N89),ISNUMBER(I89)),ROUND(I89-N89,2),"")</f>
        <v/>
      </c>
      <c r="P89" s="9" t="str">
        <f>IF(ISNUMBER(O89),IF(AND(ISNUMBER($G$5),ABS(O89)&gt;$G$5),"Revisa el descuadre",IF(AND(ISNUMBER(J89),ISNUMBER(E89)),IF(ROUND(J89-E89,2)&lt;&gt;0,"El datáfono no cuadra con la tarjeta",""),"")),IF(AND(ISNUMBER(J89),ISNUMBER(E89)),IF(ROUND(J89-E89,2)&lt;&gt;0,"El datáfono no cuadra con la tarjeta",""),""))</f>
        <v/>
      </c>
      <c r="Q89" s="4" t="n"/>
    </row>
    <row r="90">
      <c r="A90" s="7" t="n"/>
      <c r="B90" t="str">
        <f>IF(ISNUMBER(A90),CHOOSE(WEEKDAY(A90,2),"lunes","martes","miércoles","jueves","viernes","sábado","domingo"),"")</f>
        <v/>
      </c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8" t="str">
        <f>IF(AND(ISNUMBER(A90),COUNT(D90:F90)&gt;0),N(D90)+N(E90)+N(F90),"")</f>
        <v/>
      </c>
      <c r="M90" s="8" t="str">
        <f>IF(AND(ISNUMBER(L90),ISNUMBER($C$5),$C$5&gt;=0),ROUND(L90/(1+$C$5/100),2),"")</f>
        <v/>
      </c>
      <c r="N90" s="8" t="str">
        <f>IF(AND(ISNUMBER(A90),COUNT(C90:D90)&gt;0),N(C90)+N(D90)-N(G90)-N(H90),"")</f>
        <v/>
      </c>
      <c r="O90" s="8" t="str">
        <f>IF(AND(ISNUMBER(N90),ISNUMBER(I90)),ROUND(I90-N90,2),"")</f>
        <v/>
      </c>
      <c r="P90" s="9" t="str">
        <f>IF(ISNUMBER(O90),IF(AND(ISNUMBER($G$5),ABS(O90)&gt;$G$5),"Revisa el descuadre",IF(AND(ISNUMBER(J90),ISNUMBER(E90)),IF(ROUND(J90-E90,2)&lt;&gt;0,"El datáfono no cuadra con la tarjeta",""),"")),IF(AND(ISNUMBER(J90),ISNUMBER(E90)),IF(ROUND(J90-E90,2)&lt;&gt;0,"El datáfono no cuadra con la tarjeta",""),""))</f>
        <v/>
      </c>
      <c r="Q90" s="4" t="n"/>
    </row>
    <row r="91">
      <c r="A91" s="7" t="n"/>
      <c r="B91" t="str">
        <f>IF(ISNUMBER(A91),CHOOSE(WEEKDAY(A91,2),"lunes","martes","miércoles","jueves","viernes","sábado","domingo"),"")</f>
        <v/>
      </c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8" t="str">
        <f>IF(AND(ISNUMBER(A91),COUNT(D91:F91)&gt;0),N(D91)+N(E91)+N(F91),"")</f>
        <v/>
      </c>
      <c r="M91" s="8" t="str">
        <f>IF(AND(ISNUMBER(L91),ISNUMBER($C$5),$C$5&gt;=0),ROUND(L91/(1+$C$5/100),2),"")</f>
        <v/>
      </c>
      <c r="N91" s="8" t="str">
        <f>IF(AND(ISNUMBER(A91),COUNT(C91:D91)&gt;0),N(C91)+N(D91)-N(G91)-N(H91),"")</f>
        <v/>
      </c>
      <c r="O91" s="8" t="str">
        <f>IF(AND(ISNUMBER(N91),ISNUMBER(I91)),ROUND(I91-N91,2),"")</f>
        <v/>
      </c>
      <c r="P91" s="9" t="str">
        <f>IF(ISNUMBER(O91),IF(AND(ISNUMBER($G$5),ABS(O91)&gt;$G$5),"Revisa el descuadre",IF(AND(ISNUMBER(J91),ISNUMBER(E91)),IF(ROUND(J91-E91,2)&lt;&gt;0,"El datáfono no cuadra con la tarjeta",""),"")),IF(AND(ISNUMBER(J91),ISNUMBER(E91)),IF(ROUND(J91-E91,2)&lt;&gt;0,"El datáfono no cuadra con la tarjeta",""),""))</f>
        <v/>
      </c>
      <c r="Q91" s="4" t="n"/>
    </row>
    <row r="92">
      <c r="A92" s="7" t="n"/>
      <c r="B92" t="str">
        <f>IF(ISNUMBER(A92),CHOOSE(WEEKDAY(A92,2),"lunes","martes","miércoles","jueves","viernes","sábado","domingo"),"")</f>
        <v/>
      </c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8" t="str">
        <f>IF(AND(ISNUMBER(A92),COUNT(D92:F92)&gt;0),N(D92)+N(E92)+N(F92),"")</f>
        <v/>
      </c>
      <c r="M92" s="8" t="str">
        <f>IF(AND(ISNUMBER(L92),ISNUMBER($C$5),$C$5&gt;=0),ROUND(L92/(1+$C$5/100),2),"")</f>
        <v/>
      </c>
      <c r="N92" s="8" t="str">
        <f>IF(AND(ISNUMBER(A92),COUNT(C92:D92)&gt;0),N(C92)+N(D92)-N(G92)-N(H92),"")</f>
        <v/>
      </c>
      <c r="O92" s="8" t="str">
        <f>IF(AND(ISNUMBER(N92),ISNUMBER(I92)),ROUND(I92-N92,2),"")</f>
        <v/>
      </c>
      <c r="P92" s="9" t="str">
        <f>IF(ISNUMBER(O92),IF(AND(ISNUMBER($G$5),ABS(O92)&gt;$G$5),"Revisa el descuadre",IF(AND(ISNUMBER(J92),ISNUMBER(E92)),IF(ROUND(J92-E92,2)&lt;&gt;0,"El datáfono no cuadra con la tarjeta",""),"")),IF(AND(ISNUMBER(J92),ISNUMBER(E92)),IF(ROUND(J92-E92,2)&lt;&gt;0,"El datáfono no cuadra con la tarjeta",""),""))</f>
        <v/>
      </c>
      <c r="Q92" s="4" t="n"/>
    </row>
    <row r="93">
      <c r="A93" s="7" t="n"/>
      <c r="B93" t="str">
        <f>IF(ISNUMBER(A93),CHOOSE(WEEKDAY(A93,2),"lunes","martes","miércoles","jueves","viernes","sábado","domingo"),"")</f>
        <v/>
      </c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8" t="str">
        <f>IF(AND(ISNUMBER(A93),COUNT(D93:F93)&gt;0),N(D93)+N(E93)+N(F93),"")</f>
        <v/>
      </c>
      <c r="M93" s="8" t="str">
        <f>IF(AND(ISNUMBER(L93),ISNUMBER($C$5),$C$5&gt;=0),ROUND(L93/(1+$C$5/100),2),"")</f>
        <v/>
      </c>
      <c r="N93" s="8" t="str">
        <f>IF(AND(ISNUMBER(A93),COUNT(C93:D93)&gt;0),N(C93)+N(D93)-N(G93)-N(H93),"")</f>
        <v/>
      </c>
      <c r="O93" s="8" t="str">
        <f>IF(AND(ISNUMBER(N93),ISNUMBER(I93)),ROUND(I93-N93,2),"")</f>
        <v/>
      </c>
      <c r="P93" s="9" t="str">
        <f>IF(ISNUMBER(O93),IF(AND(ISNUMBER($G$5),ABS(O93)&gt;$G$5),"Revisa el descuadre",IF(AND(ISNUMBER(J93),ISNUMBER(E93)),IF(ROUND(J93-E93,2)&lt;&gt;0,"El datáfono no cuadra con la tarjeta",""),"")),IF(AND(ISNUMBER(J93),ISNUMBER(E93)),IF(ROUND(J93-E93,2)&lt;&gt;0,"El datáfono no cuadra con la tarjeta",""),""))</f>
        <v/>
      </c>
      <c r="Q93" s="4" t="n"/>
    </row>
    <row r="94">
      <c r="A94" s="7" t="n"/>
      <c r="B94" t="str">
        <f>IF(ISNUMBER(A94),CHOOSE(WEEKDAY(A94,2),"lunes","martes","miércoles","jueves","viernes","sábado","domingo"),"")</f>
        <v/>
      </c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8" t="str">
        <f>IF(AND(ISNUMBER(A94),COUNT(D94:F94)&gt;0),N(D94)+N(E94)+N(F94),"")</f>
        <v/>
      </c>
      <c r="M94" s="8" t="str">
        <f>IF(AND(ISNUMBER(L94),ISNUMBER($C$5),$C$5&gt;=0),ROUND(L94/(1+$C$5/100),2),"")</f>
        <v/>
      </c>
      <c r="N94" s="8" t="str">
        <f>IF(AND(ISNUMBER(A94),COUNT(C94:D94)&gt;0),N(C94)+N(D94)-N(G94)-N(H94),"")</f>
        <v/>
      </c>
      <c r="O94" s="8" t="str">
        <f>IF(AND(ISNUMBER(N94),ISNUMBER(I94)),ROUND(I94-N94,2),"")</f>
        <v/>
      </c>
      <c r="P94" s="9" t="str">
        <f>IF(ISNUMBER(O94),IF(AND(ISNUMBER($G$5),ABS(O94)&gt;$G$5),"Revisa el descuadre",IF(AND(ISNUMBER(J94),ISNUMBER(E94)),IF(ROUND(J94-E94,2)&lt;&gt;0,"El datáfono no cuadra con la tarjeta",""),"")),IF(AND(ISNUMBER(J94),ISNUMBER(E94)),IF(ROUND(J94-E94,2)&lt;&gt;0,"El datáfono no cuadra con la tarjeta",""),""))</f>
        <v/>
      </c>
      <c r="Q94" s="4" t="n"/>
    </row>
    <row r="95">
      <c r="A95" s="7" t="n"/>
      <c r="B95" t="str">
        <f>IF(ISNUMBER(A95),CHOOSE(WEEKDAY(A95,2),"lunes","martes","miércoles","jueves","viernes","sábado","domingo"),"")</f>
        <v/>
      </c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8" t="str">
        <f>IF(AND(ISNUMBER(A95),COUNT(D95:F95)&gt;0),N(D95)+N(E95)+N(F95),"")</f>
        <v/>
      </c>
      <c r="M95" s="8" t="str">
        <f>IF(AND(ISNUMBER(L95),ISNUMBER($C$5),$C$5&gt;=0),ROUND(L95/(1+$C$5/100),2),"")</f>
        <v/>
      </c>
      <c r="N95" s="8" t="str">
        <f>IF(AND(ISNUMBER(A95),COUNT(C95:D95)&gt;0),N(C95)+N(D95)-N(G95)-N(H95),"")</f>
        <v/>
      </c>
      <c r="O95" s="8" t="str">
        <f>IF(AND(ISNUMBER(N95),ISNUMBER(I95)),ROUND(I95-N95,2),"")</f>
        <v/>
      </c>
      <c r="P95" s="9" t="str">
        <f>IF(ISNUMBER(O95),IF(AND(ISNUMBER($G$5),ABS(O95)&gt;$G$5),"Revisa el descuadre",IF(AND(ISNUMBER(J95),ISNUMBER(E95)),IF(ROUND(J95-E95,2)&lt;&gt;0,"El datáfono no cuadra con la tarjeta",""),"")),IF(AND(ISNUMBER(J95),ISNUMBER(E95)),IF(ROUND(J95-E95,2)&lt;&gt;0,"El datáfono no cuadra con la tarjeta",""),""))</f>
        <v/>
      </c>
      <c r="Q95" s="4" t="n"/>
    </row>
    <row r="96">
      <c r="A96" s="7" t="n"/>
      <c r="B96" t="str">
        <f>IF(ISNUMBER(A96),CHOOSE(WEEKDAY(A96,2),"lunes","martes","miércoles","jueves","viernes","sábado","domingo"),"")</f>
        <v/>
      </c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8" t="str">
        <f>IF(AND(ISNUMBER(A96),COUNT(D96:F96)&gt;0),N(D96)+N(E96)+N(F96),"")</f>
        <v/>
      </c>
      <c r="M96" s="8" t="str">
        <f>IF(AND(ISNUMBER(L96),ISNUMBER($C$5),$C$5&gt;=0),ROUND(L96/(1+$C$5/100),2),"")</f>
        <v/>
      </c>
      <c r="N96" s="8" t="str">
        <f>IF(AND(ISNUMBER(A96),COUNT(C96:D96)&gt;0),N(C96)+N(D96)-N(G96)-N(H96),"")</f>
        <v/>
      </c>
      <c r="O96" s="8" t="str">
        <f>IF(AND(ISNUMBER(N96),ISNUMBER(I96)),ROUND(I96-N96,2),"")</f>
        <v/>
      </c>
      <c r="P96" s="9" t="str">
        <f>IF(ISNUMBER(O96),IF(AND(ISNUMBER($G$5),ABS(O96)&gt;$G$5),"Revisa el descuadre",IF(AND(ISNUMBER(J96),ISNUMBER(E96)),IF(ROUND(J96-E96,2)&lt;&gt;0,"El datáfono no cuadra con la tarjeta",""),"")),IF(AND(ISNUMBER(J96),ISNUMBER(E96)),IF(ROUND(J96-E96,2)&lt;&gt;0,"El datáfono no cuadra con la tarjeta",""),""))</f>
        <v/>
      </c>
      <c r="Q96" s="4" t="n"/>
    </row>
    <row r="97">
      <c r="A97" s="7" t="n"/>
      <c r="B97" t="str">
        <f>IF(ISNUMBER(A97),CHOOSE(WEEKDAY(A97,2),"lunes","martes","miércoles","jueves","viernes","sábado","domingo"),"")</f>
        <v/>
      </c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8" t="str">
        <f>IF(AND(ISNUMBER(A97),COUNT(D97:F97)&gt;0),N(D97)+N(E97)+N(F97),"")</f>
        <v/>
      </c>
      <c r="M97" s="8" t="str">
        <f>IF(AND(ISNUMBER(L97),ISNUMBER($C$5),$C$5&gt;=0),ROUND(L97/(1+$C$5/100),2),"")</f>
        <v/>
      </c>
      <c r="N97" s="8" t="str">
        <f>IF(AND(ISNUMBER(A97),COUNT(C97:D97)&gt;0),N(C97)+N(D97)-N(G97)-N(H97),"")</f>
        <v/>
      </c>
      <c r="O97" s="8" t="str">
        <f>IF(AND(ISNUMBER(N97),ISNUMBER(I97)),ROUND(I97-N97,2),"")</f>
        <v/>
      </c>
      <c r="P97" s="9" t="str">
        <f>IF(ISNUMBER(O97),IF(AND(ISNUMBER($G$5),ABS(O97)&gt;$G$5),"Revisa el descuadre",IF(AND(ISNUMBER(J97),ISNUMBER(E97)),IF(ROUND(J97-E97,2)&lt;&gt;0,"El datáfono no cuadra con la tarjeta",""),"")),IF(AND(ISNUMBER(J97),ISNUMBER(E97)),IF(ROUND(J97-E97,2)&lt;&gt;0,"El datáfono no cuadra con la tarjeta",""),""))</f>
        <v/>
      </c>
      <c r="Q97" s="4" t="n"/>
    </row>
    <row r="98">
      <c r="A98" s="7" t="n"/>
      <c r="B98" t="str">
        <f>IF(ISNUMBER(A98),CHOOSE(WEEKDAY(A98,2),"lunes","martes","miércoles","jueves","viernes","sábado","domingo"),"")</f>
        <v/>
      </c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8" t="str">
        <f>IF(AND(ISNUMBER(A98),COUNT(D98:F98)&gt;0),N(D98)+N(E98)+N(F98),"")</f>
        <v/>
      </c>
      <c r="M98" s="8" t="str">
        <f>IF(AND(ISNUMBER(L98),ISNUMBER($C$5),$C$5&gt;=0),ROUND(L98/(1+$C$5/100),2),"")</f>
        <v/>
      </c>
      <c r="N98" s="8" t="str">
        <f>IF(AND(ISNUMBER(A98),COUNT(C98:D98)&gt;0),N(C98)+N(D98)-N(G98)-N(H98),"")</f>
        <v/>
      </c>
      <c r="O98" s="8" t="str">
        <f>IF(AND(ISNUMBER(N98),ISNUMBER(I98)),ROUND(I98-N98,2),"")</f>
        <v/>
      </c>
      <c r="P98" s="9" t="str">
        <f>IF(ISNUMBER(O98),IF(AND(ISNUMBER($G$5),ABS(O98)&gt;$G$5),"Revisa el descuadre",IF(AND(ISNUMBER(J98),ISNUMBER(E98)),IF(ROUND(J98-E98,2)&lt;&gt;0,"El datáfono no cuadra con la tarjeta",""),"")),IF(AND(ISNUMBER(J98),ISNUMBER(E98)),IF(ROUND(J98-E98,2)&lt;&gt;0,"El datáfono no cuadra con la tarjeta",""),""))</f>
        <v/>
      </c>
      <c r="Q98" s="4" t="n"/>
    </row>
    <row r="99">
      <c r="A99" s="7" t="n"/>
      <c r="B99" t="str">
        <f>IF(ISNUMBER(A99),CHOOSE(WEEKDAY(A99,2),"lunes","martes","miércoles","jueves","viernes","sábado","domingo"),"")</f>
        <v/>
      </c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8" t="str">
        <f>IF(AND(ISNUMBER(A99),COUNT(D99:F99)&gt;0),N(D99)+N(E99)+N(F99),"")</f>
        <v/>
      </c>
      <c r="M99" s="8" t="str">
        <f>IF(AND(ISNUMBER(L99),ISNUMBER($C$5),$C$5&gt;=0),ROUND(L99/(1+$C$5/100),2),"")</f>
        <v/>
      </c>
      <c r="N99" s="8" t="str">
        <f>IF(AND(ISNUMBER(A99),COUNT(C99:D99)&gt;0),N(C99)+N(D99)-N(G99)-N(H99),"")</f>
        <v/>
      </c>
      <c r="O99" s="8" t="str">
        <f>IF(AND(ISNUMBER(N99),ISNUMBER(I99)),ROUND(I99-N99,2),"")</f>
        <v/>
      </c>
      <c r="P99" s="9" t="str">
        <f>IF(ISNUMBER(O99),IF(AND(ISNUMBER($G$5),ABS(O99)&gt;$G$5),"Revisa el descuadre",IF(AND(ISNUMBER(J99),ISNUMBER(E99)),IF(ROUND(J99-E99,2)&lt;&gt;0,"El datáfono no cuadra con la tarjeta",""),"")),IF(AND(ISNUMBER(J99),ISNUMBER(E99)),IF(ROUND(J99-E99,2)&lt;&gt;0,"El datáfono no cuadra con la tarjeta",""),""))</f>
        <v/>
      </c>
      <c r="Q99" s="4" t="n"/>
    </row>
    <row r="100">
      <c r="A100" s="7" t="n"/>
      <c r="B100" t="str">
        <f>IF(ISNUMBER(A100),CHOOSE(WEEKDAY(A100,2),"lunes","martes","miércoles","jueves","viernes","sábado","domingo"),"")</f>
        <v/>
      </c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8" t="str">
        <f>IF(AND(ISNUMBER(A100),COUNT(D100:F100)&gt;0),N(D100)+N(E100)+N(F100),"")</f>
        <v/>
      </c>
      <c r="M100" s="8" t="str">
        <f>IF(AND(ISNUMBER(L100),ISNUMBER($C$5),$C$5&gt;=0),ROUND(L100/(1+$C$5/100),2),"")</f>
        <v/>
      </c>
      <c r="N100" s="8" t="str">
        <f>IF(AND(ISNUMBER(A100),COUNT(C100:D100)&gt;0),N(C100)+N(D100)-N(G100)-N(H100),"")</f>
        <v/>
      </c>
      <c r="O100" s="8" t="str">
        <f>IF(AND(ISNUMBER(N100),ISNUMBER(I100)),ROUND(I100-N100,2),"")</f>
        <v/>
      </c>
      <c r="P100" s="9" t="str">
        <f>IF(ISNUMBER(O100),IF(AND(ISNUMBER($G$5),ABS(O100)&gt;$G$5),"Revisa el descuadre",IF(AND(ISNUMBER(J100),ISNUMBER(E100)),IF(ROUND(J100-E100,2)&lt;&gt;0,"El datáfono no cuadra con la tarjeta",""),"")),IF(AND(ISNUMBER(J100),ISNUMBER(E100)),IF(ROUND(J100-E100,2)&lt;&gt;0,"El datáfono no cuadra con la tarjeta",""),""))</f>
        <v/>
      </c>
      <c r="Q100" s="4" t="n"/>
    </row>
    <row r="101">
      <c r="A101" s="7" t="n"/>
      <c r="B101" t="str">
        <f>IF(ISNUMBER(A101),CHOOSE(WEEKDAY(A101,2),"lunes","martes","miércoles","jueves","viernes","sábado","domingo"),"")</f>
        <v/>
      </c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8" t="str">
        <f>IF(AND(ISNUMBER(A101),COUNT(D101:F101)&gt;0),N(D101)+N(E101)+N(F101),"")</f>
        <v/>
      </c>
      <c r="M101" s="8" t="str">
        <f>IF(AND(ISNUMBER(L101),ISNUMBER($C$5),$C$5&gt;=0),ROUND(L101/(1+$C$5/100),2),"")</f>
        <v/>
      </c>
      <c r="N101" s="8" t="str">
        <f>IF(AND(ISNUMBER(A101),COUNT(C101:D101)&gt;0),N(C101)+N(D101)-N(G101)-N(H101),"")</f>
        <v/>
      </c>
      <c r="O101" s="8" t="str">
        <f>IF(AND(ISNUMBER(N101),ISNUMBER(I101)),ROUND(I101-N101,2),"")</f>
        <v/>
      </c>
      <c r="P101" s="9" t="str">
        <f>IF(ISNUMBER(O101),IF(AND(ISNUMBER($G$5),ABS(O101)&gt;$G$5),"Revisa el descuadre",IF(AND(ISNUMBER(J101),ISNUMBER(E101)),IF(ROUND(J101-E101,2)&lt;&gt;0,"El datáfono no cuadra con la tarjeta",""),"")),IF(AND(ISNUMBER(J101),ISNUMBER(E101)),IF(ROUND(J101-E101,2)&lt;&gt;0,"El datáfono no cuadra con la tarjeta",""),""))</f>
        <v/>
      </c>
      <c r="Q101" s="4" t="n"/>
    </row>
    <row r="102">
      <c r="A102" s="7" t="n"/>
      <c r="B102" t="str">
        <f>IF(ISNUMBER(A102),CHOOSE(WEEKDAY(A102,2),"lunes","martes","miércoles","jueves","viernes","sábado","domingo"),"")</f>
        <v/>
      </c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8" t="str">
        <f>IF(AND(ISNUMBER(A102),COUNT(D102:F102)&gt;0),N(D102)+N(E102)+N(F102),"")</f>
        <v/>
      </c>
      <c r="M102" s="8" t="str">
        <f>IF(AND(ISNUMBER(L102),ISNUMBER($C$5),$C$5&gt;=0),ROUND(L102/(1+$C$5/100),2),"")</f>
        <v/>
      </c>
      <c r="N102" s="8" t="str">
        <f>IF(AND(ISNUMBER(A102),COUNT(C102:D102)&gt;0),N(C102)+N(D102)-N(G102)-N(H102),"")</f>
        <v/>
      </c>
      <c r="O102" s="8" t="str">
        <f>IF(AND(ISNUMBER(N102),ISNUMBER(I102)),ROUND(I102-N102,2),"")</f>
        <v/>
      </c>
      <c r="P102" s="9" t="str">
        <f>IF(ISNUMBER(O102),IF(AND(ISNUMBER($G$5),ABS(O102)&gt;$G$5),"Revisa el descuadre",IF(AND(ISNUMBER(J102),ISNUMBER(E102)),IF(ROUND(J102-E102,2)&lt;&gt;0,"El datáfono no cuadra con la tarjeta",""),"")),IF(AND(ISNUMBER(J102),ISNUMBER(E102)),IF(ROUND(J102-E102,2)&lt;&gt;0,"El datáfono no cuadra con la tarjeta",""),""))</f>
        <v/>
      </c>
      <c r="Q102" s="4" t="n"/>
    </row>
    <row r="103">
      <c r="A103" s="7" t="n"/>
      <c r="B103" t="str">
        <f>IF(ISNUMBER(A103),CHOOSE(WEEKDAY(A103,2),"lunes","martes","miércoles","jueves","viernes","sábado","domingo"),"")</f>
        <v/>
      </c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8" t="str">
        <f>IF(AND(ISNUMBER(A103),COUNT(D103:F103)&gt;0),N(D103)+N(E103)+N(F103),"")</f>
        <v/>
      </c>
      <c r="M103" s="8" t="str">
        <f>IF(AND(ISNUMBER(L103),ISNUMBER($C$5),$C$5&gt;=0),ROUND(L103/(1+$C$5/100),2),"")</f>
        <v/>
      </c>
      <c r="N103" s="8" t="str">
        <f>IF(AND(ISNUMBER(A103),COUNT(C103:D103)&gt;0),N(C103)+N(D103)-N(G103)-N(H103),"")</f>
        <v/>
      </c>
      <c r="O103" s="8" t="str">
        <f>IF(AND(ISNUMBER(N103),ISNUMBER(I103)),ROUND(I103-N103,2),"")</f>
        <v/>
      </c>
      <c r="P103" s="9" t="str">
        <f>IF(ISNUMBER(O103),IF(AND(ISNUMBER($G$5),ABS(O103)&gt;$G$5),"Revisa el descuadre",IF(AND(ISNUMBER(J103),ISNUMBER(E103)),IF(ROUND(J103-E103,2)&lt;&gt;0,"El datáfono no cuadra con la tarjeta",""),"")),IF(AND(ISNUMBER(J103),ISNUMBER(E103)),IF(ROUND(J103-E103,2)&lt;&gt;0,"El datáfono no cuadra con la tarjeta",""),""))</f>
        <v/>
      </c>
      <c r="Q103" s="4" t="n"/>
    </row>
    <row r="104">
      <c r="A104" s="7" t="n"/>
      <c r="B104" t="str">
        <f>IF(ISNUMBER(A104),CHOOSE(WEEKDAY(A104,2),"lunes","martes","miércoles","jueves","viernes","sábado","domingo"),"")</f>
        <v/>
      </c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8" t="str">
        <f>IF(AND(ISNUMBER(A104),COUNT(D104:F104)&gt;0),N(D104)+N(E104)+N(F104),"")</f>
        <v/>
      </c>
      <c r="M104" s="8" t="str">
        <f>IF(AND(ISNUMBER(L104),ISNUMBER($C$5),$C$5&gt;=0),ROUND(L104/(1+$C$5/100),2),"")</f>
        <v/>
      </c>
      <c r="N104" s="8" t="str">
        <f>IF(AND(ISNUMBER(A104),COUNT(C104:D104)&gt;0),N(C104)+N(D104)-N(G104)-N(H104),"")</f>
        <v/>
      </c>
      <c r="O104" s="8" t="str">
        <f>IF(AND(ISNUMBER(N104),ISNUMBER(I104)),ROUND(I104-N104,2),"")</f>
        <v/>
      </c>
      <c r="P104" s="9" t="str">
        <f>IF(ISNUMBER(O104),IF(AND(ISNUMBER($G$5),ABS(O104)&gt;$G$5),"Revisa el descuadre",IF(AND(ISNUMBER(J104),ISNUMBER(E104)),IF(ROUND(J104-E104,2)&lt;&gt;0,"El datáfono no cuadra con la tarjeta",""),"")),IF(AND(ISNUMBER(J104),ISNUMBER(E104)),IF(ROUND(J104-E104,2)&lt;&gt;0,"El datáfono no cuadra con la tarjeta",""),""))</f>
        <v/>
      </c>
      <c r="Q104" s="4" t="n"/>
    </row>
    <row r="105">
      <c r="A105" s="7" t="n"/>
      <c r="B105" t="str">
        <f>IF(ISNUMBER(A105),CHOOSE(WEEKDAY(A105,2),"lunes","martes","miércoles","jueves","viernes","sábado","domingo"),"")</f>
        <v/>
      </c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8" t="str">
        <f>IF(AND(ISNUMBER(A105),COUNT(D105:F105)&gt;0),N(D105)+N(E105)+N(F105),"")</f>
        <v/>
      </c>
      <c r="M105" s="8" t="str">
        <f>IF(AND(ISNUMBER(L105),ISNUMBER($C$5),$C$5&gt;=0),ROUND(L105/(1+$C$5/100),2),"")</f>
        <v/>
      </c>
      <c r="N105" s="8" t="str">
        <f>IF(AND(ISNUMBER(A105),COUNT(C105:D105)&gt;0),N(C105)+N(D105)-N(G105)-N(H105),"")</f>
        <v/>
      </c>
      <c r="O105" s="8" t="str">
        <f>IF(AND(ISNUMBER(N105),ISNUMBER(I105)),ROUND(I105-N105,2),"")</f>
        <v/>
      </c>
      <c r="P105" s="9" t="str">
        <f>IF(ISNUMBER(O105),IF(AND(ISNUMBER($G$5),ABS(O105)&gt;$G$5),"Revisa el descuadre",IF(AND(ISNUMBER(J105),ISNUMBER(E105)),IF(ROUND(J105-E105,2)&lt;&gt;0,"El datáfono no cuadra con la tarjeta",""),"")),IF(AND(ISNUMBER(J105),ISNUMBER(E105)),IF(ROUND(J105-E105,2)&lt;&gt;0,"El datáfono no cuadra con la tarjeta",""),""))</f>
        <v/>
      </c>
      <c r="Q105" s="4" t="n"/>
    </row>
    <row r="106">
      <c r="A106" s="7" t="n"/>
      <c r="B106" t="str">
        <f>IF(ISNUMBER(A106),CHOOSE(WEEKDAY(A106,2),"lunes","martes","miércoles","jueves","viernes","sábado","domingo"),"")</f>
        <v/>
      </c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8" t="str">
        <f>IF(AND(ISNUMBER(A106),COUNT(D106:F106)&gt;0),N(D106)+N(E106)+N(F106),"")</f>
        <v/>
      </c>
      <c r="M106" s="8" t="str">
        <f>IF(AND(ISNUMBER(L106),ISNUMBER($C$5),$C$5&gt;=0),ROUND(L106/(1+$C$5/100),2),"")</f>
        <v/>
      </c>
      <c r="N106" s="8" t="str">
        <f>IF(AND(ISNUMBER(A106),COUNT(C106:D106)&gt;0),N(C106)+N(D106)-N(G106)-N(H106),"")</f>
        <v/>
      </c>
      <c r="O106" s="8" t="str">
        <f>IF(AND(ISNUMBER(N106),ISNUMBER(I106)),ROUND(I106-N106,2),"")</f>
        <v/>
      </c>
      <c r="P106" s="9" t="str">
        <f>IF(ISNUMBER(O106),IF(AND(ISNUMBER($G$5),ABS(O106)&gt;$G$5),"Revisa el descuadre",IF(AND(ISNUMBER(J106),ISNUMBER(E106)),IF(ROUND(J106-E106,2)&lt;&gt;0,"El datáfono no cuadra con la tarjeta",""),"")),IF(AND(ISNUMBER(J106),ISNUMBER(E106)),IF(ROUND(J106-E106,2)&lt;&gt;0,"El datáfono no cuadra con la tarjeta",""),""))</f>
        <v/>
      </c>
      <c r="Q106" s="4" t="n"/>
    </row>
    <row r="107">
      <c r="A107" s="7" t="n"/>
      <c r="B107" t="str">
        <f>IF(ISNUMBER(A107),CHOOSE(WEEKDAY(A107,2),"lunes","martes","miércoles","jueves","viernes","sábado","domingo"),"")</f>
        <v/>
      </c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8" t="str">
        <f>IF(AND(ISNUMBER(A107),COUNT(D107:F107)&gt;0),N(D107)+N(E107)+N(F107),"")</f>
        <v/>
      </c>
      <c r="M107" s="8" t="str">
        <f>IF(AND(ISNUMBER(L107),ISNUMBER($C$5),$C$5&gt;=0),ROUND(L107/(1+$C$5/100),2),"")</f>
        <v/>
      </c>
      <c r="N107" s="8" t="str">
        <f>IF(AND(ISNUMBER(A107),COUNT(C107:D107)&gt;0),N(C107)+N(D107)-N(G107)-N(H107),"")</f>
        <v/>
      </c>
      <c r="O107" s="8" t="str">
        <f>IF(AND(ISNUMBER(N107),ISNUMBER(I107)),ROUND(I107-N107,2),"")</f>
        <v/>
      </c>
      <c r="P107" s="9" t="str">
        <f>IF(ISNUMBER(O107),IF(AND(ISNUMBER($G$5),ABS(O107)&gt;$G$5),"Revisa el descuadre",IF(AND(ISNUMBER(J107),ISNUMBER(E107)),IF(ROUND(J107-E107,2)&lt;&gt;0,"El datáfono no cuadra con la tarjeta",""),"")),IF(AND(ISNUMBER(J107),ISNUMBER(E107)),IF(ROUND(J107-E107,2)&lt;&gt;0,"El datáfono no cuadra con la tarjeta",""),""))</f>
        <v/>
      </c>
      <c r="Q107" s="4" t="n"/>
    </row>
    <row r="108">
      <c r="A108" s="7" t="n"/>
      <c r="B108" t="str">
        <f>IF(ISNUMBER(A108),CHOOSE(WEEKDAY(A108,2),"lunes","martes","miércoles","jueves","viernes","sábado","domingo"),"")</f>
        <v/>
      </c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8" t="str">
        <f>IF(AND(ISNUMBER(A108),COUNT(D108:F108)&gt;0),N(D108)+N(E108)+N(F108),"")</f>
        <v/>
      </c>
      <c r="M108" s="8" t="str">
        <f>IF(AND(ISNUMBER(L108),ISNUMBER($C$5),$C$5&gt;=0),ROUND(L108/(1+$C$5/100),2),"")</f>
        <v/>
      </c>
      <c r="N108" s="8" t="str">
        <f>IF(AND(ISNUMBER(A108),COUNT(C108:D108)&gt;0),N(C108)+N(D108)-N(G108)-N(H108),"")</f>
        <v/>
      </c>
      <c r="O108" s="8" t="str">
        <f>IF(AND(ISNUMBER(N108),ISNUMBER(I108)),ROUND(I108-N108,2),"")</f>
        <v/>
      </c>
      <c r="P108" s="9" t="str">
        <f>IF(ISNUMBER(O108),IF(AND(ISNUMBER($G$5),ABS(O108)&gt;$G$5),"Revisa el descuadre",IF(AND(ISNUMBER(J108),ISNUMBER(E108)),IF(ROUND(J108-E108,2)&lt;&gt;0,"El datáfono no cuadra con la tarjeta",""),"")),IF(AND(ISNUMBER(J108),ISNUMBER(E108)),IF(ROUND(J108-E108,2)&lt;&gt;0,"El datáfono no cuadra con la tarjeta",""),""))</f>
        <v/>
      </c>
      <c r="Q108" s="4" t="n"/>
    </row>
    <row r="109">
      <c r="A109" s="7" t="n"/>
      <c r="B109" t="str">
        <f>IF(ISNUMBER(A109),CHOOSE(WEEKDAY(A109,2),"lunes","martes","miércoles","jueves","viernes","sábado","domingo"),"")</f>
        <v/>
      </c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8" t="str">
        <f>IF(AND(ISNUMBER(A109),COUNT(D109:F109)&gt;0),N(D109)+N(E109)+N(F109),"")</f>
        <v/>
      </c>
      <c r="M109" s="8" t="str">
        <f>IF(AND(ISNUMBER(L109),ISNUMBER($C$5),$C$5&gt;=0),ROUND(L109/(1+$C$5/100),2),"")</f>
        <v/>
      </c>
      <c r="N109" s="8" t="str">
        <f>IF(AND(ISNUMBER(A109),COUNT(C109:D109)&gt;0),N(C109)+N(D109)-N(G109)-N(H109),"")</f>
        <v/>
      </c>
      <c r="O109" s="8" t="str">
        <f>IF(AND(ISNUMBER(N109),ISNUMBER(I109)),ROUND(I109-N109,2),"")</f>
        <v/>
      </c>
      <c r="P109" s="9" t="str">
        <f>IF(ISNUMBER(O109),IF(AND(ISNUMBER($G$5),ABS(O109)&gt;$G$5),"Revisa el descuadre",IF(AND(ISNUMBER(J109),ISNUMBER(E109)),IF(ROUND(J109-E109,2)&lt;&gt;0,"El datáfono no cuadra con la tarjeta",""),"")),IF(AND(ISNUMBER(J109),ISNUMBER(E109)),IF(ROUND(J109-E109,2)&lt;&gt;0,"El datáfono no cuadra con la tarjeta",""),""))</f>
        <v/>
      </c>
      <c r="Q109" s="4" t="n"/>
    </row>
    <row r="110">
      <c r="A110" s="7" t="n"/>
      <c r="B110" t="str">
        <f>IF(ISNUMBER(A110),CHOOSE(WEEKDAY(A110,2),"lunes","martes","miércoles","jueves","viernes","sábado","domingo"),"")</f>
        <v/>
      </c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8" t="str">
        <f>IF(AND(ISNUMBER(A110),COUNT(D110:F110)&gt;0),N(D110)+N(E110)+N(F110),"")</f>
        <v/>
      </c>
      <c r="M110" s="8" t="str">
        <f>IF(AND(ISNUMBER(L110),ISNUMBER($C$5),$C$5&gt;=0),ROUND(L110/(1+$C$5/100),2),"")</f>
        <v/>
      </c>
      <c r="N110" s="8" t="str">
        <f>IF(AND(ISNUMBER(A110),COUNT(C110:D110)&gt;0),N(C110)+N(D110)-N(G110)-N(H110),"")</f>
        <v/>
      </c>
      <c r="O110" s="8" t="str">
        <f>IF(AND(ISNUMBER(N110),ISNUMBER(I110)),ROUND(I110-N110,2),"")</f>
        <v/>
      </c>
      <c r="P110" s="9" t="str">
        <f>IF(ISNUMBER(O110),IF(AND(ISNUMBER($G$5),ABS(O110)&gt;$G$5),"Revisa el descuadre",IF(AND(ISNUMBER(J110),ISNUMBER(E110)),IF(ROUND(J110-E110,2)&lt;&gt;0,"El datáfono no cuadra con la tarjeta",""),"")),IF(AND(ISNUMBER(J110),ISNUMBER(E110)),IF(ROUND(J110-E110,2)&lt;&gt;0,"El datáfono no cuadra con la tarjeta",""),""))</f>
        <v/>
      </c>
      <c r="Q110" s="4" t="n"/>
    </row>
    <row r="111">
      <c r="A111" s="7" t="n"/>
      <c r="B111" t="str">
        <f>IF(ISNUMBER(A111),CHOOSE(WEEKDAY(A111,2),"lunes","martes","miércoles","jueves","viernes","sábado","domingo"),"")</f>
        <v/>
      </c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8" t="str">
        <f>IF(AND(ISNUMBER(A111),COUNT(D111:F111)&gt;0),N(D111)+N(E111)+N(F111),"")</f>
        <v/>
      </c>
      <c r="M111" s="8" t="str">
        <f>IF(AND(ISNUMBER(L111),ISNUMBER($C$5),$C$5&gt;=0),ROUND(L111/(1+$C$5/100),2),"")</f>
        <v/>
      </c>
      <c r="N111" s="8" t="str">
        <f>IF(AND(ISNUMBER(A111),COUNT(C111:D111)&gt;0),N(C111)+N(D111)-N(G111)-N(H111),"")</f>
        <v/>
      </c>
      <c r="O111" s="8" t="str">
        <f>IF(AND(ISNUMBER(N111),ISNUMBER(I111)),ROUND(I111-N111,2),"")</f>
        <v/>
      </c>
      <c r="P111" s="9" t="str">
        <f>IF(ISNUMBER(O111),IF(AND(ISNUMBER($G$5),ABS(O111)&gt;$G$5),"Revisa el descuadre",IF(AND(ISNUMBER(J111),ISNUMBER(E111)),IF(ROUND(J111-E111,2)&lt;&gt;0,"El datáfono no cuadra con la tarjeta",""),"")),IF(AND(ISNUMBER(J111),ISNUMBER(E111)),IF(ROUND(J111-E111,2)&lt;&gt;0,"El datáfono no cuadra con la tarjeta",""),""))</f>
        <v/>
      </c>
      <c r="Q111" s="4" t="n"/>
    </row>
    <row r="112">
      <c r="A112" s="7" t="n"/>
      <c r="B112" t="str">
        <f>IF(ISNUMBER(A112),CHOOSE(WEEKDAY(A112,2),"lunes","martes","miércoles","jueves","viernes","sábado","domingo"),"")</f>
        <v/>
      </c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8" t="str">
        <f>IF(AND(ISNUMBER(A112),COUNT(D112:F112)&gt;0),N(D112)+N(E112)+N(F112),"")</f>
        <v/>
      </c>
      <c r="M112" s="8" t="str">
        <f>IF(AND(ISNUMBER(L112),ISNUMBER($C$5),$C$5&gt;=0),ROUND(L112/(1+$C$5/100),2),"")</f>
        <v/>
      </c>
      <c r="N112" s="8" t="str">
        <f>IF(AND(ISNUMBER(A112),COUNT(C112:D112)&gt;0),N(C112)+N(D112)-N(G112)-N(H112),"")</f>
        <v/>
      </c>
      <c r="O112" s="8" t="str">
        <f>IF(AND(ISNUMBER(N112),ISNUMBER(I112)),ROUND(I112-N112,2),"")</f>
        <v/>
      </c>
      <c r="P112" s="9" t="str">
        <f>IF(ISNUMBER(O112),IF(AND(ISNUMBER($G$5),ABS(O112)&gt;$G$5),"Revisa el descuadre",IF(AND(ISNUMBER(J112),ISNUMBER(E112)),IF(ROUND(J112-E112,2)&lt;&gt;0,"El datáfono no cuadra con la tarjeta",""),"")),IF(AND(ISNUMBER(J112),ISNUMBER(E112)),IF(ROUND(J112-E112,2)&lt;&gt;0,"El datáfono no cuadra con la tarjeta",""),""))</f>
        <v/>
      </c>
      <c r="Q112" s="4" t="n"/>
    </row>
    <row r="113">
      <c r="A113" s="7" t="n"/>
      <c r="B113" t="str">
        <f>IF(ISNUMBER(A113),CHOOSE(WEEKDAY(A113,2),"lunes","martes","miércoles","jueves","viernes","sábado","domingo"),"")</f>
        <v/>
      </c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8" t="str">
        <f>IF(AND(ISNUMBER(A113),COUNT(D113:F113)&gt;0),N(D113)+N(E113)+N(F113),"")</f>
        <v/>
      </c>
      <c r="M113" s="8" t="str">
        <f>IF(AND(ISNUMBER(L113),ISNUMBER($C$5),$C$5&gt;=0),ROUND(L113/(1+$C$5/100),2),"")</f>
        <v/>
      </c>
      <c r="N113" s="8" t="str">
        <f>IF(AND(ISNUMBER(A113),COUNT(C113:D113)&gt;0),N(C113)+N(D113)-N(G113)-N(H113),"")</f>
        <v/>
      </c>
      <c r="O113" s="8" t="str">
        <f>IF(AND(ISNUMBER(N113),ISNUMBER(I113)),ROUND(I113-N113,2),"")</f>
        <v/>
      </c>
      <c r="P113" s="9" t="str">
        <f>IF(ISNUMBER(O113),IF(AND(ISNUMBER($G$5),ABS(O113)&gt;$G$5),"Revisa el descuadre",IF(AND(ISNUMBER(J113),ISNUMBER(E113)),IF(ROUND(J113-E113,2)&lt;&gt;0,"El datáfono no cuadra con la tarjeta",""),"")),IF(AND(ISNUMBER(J113),ISNUMBER(E113)),IF(ROUND(J113-E113,2)&lt;&gt;0,"El datáfono no cuadra con la tarjeta",""),""))</f>
        <v/>
      </c>
      <c r="Q113" s="4" t="n"/>
    </row>
    <row r="114">
      <c r="A114" s="7" t="n"/>
      <c r="B114" t="str">
        <f>IF(ISNUMBER(A114),CHOOSE(WEEKDAY(A114,2),"lunes","martes","miércoles","jueves","viernes","sábado","domingo"),"")</f>
        <v/>
      </c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8" t="str">
        <f>IF(AND(ISNUMBER(A114),COUNT(D114:F114)&gt;0),N(D114)+N(E114)+N(F114),"")</f>
        <v/>
      </c>
      <c r="M114" s="8" t="str">
        <f>IF(AND(ISNUMBER(L114),ISNUMBER($C$5),$C$5&gt;=0),ROUND(L114/(1+$C$5/100),2),"")</f>
        <v/>
      </c>
      <c r="N114" s="8" t="str">
        <f>IF(AND(ISNUMBER(A114),COUNT(C114:D114)&gt;0),N(C114)+N(D114)-N(G114)-N(H114),"")</f>
        <v/>
      </c>
      <c r="O114" s="8" t="str">
        <f>IF(AND(ISNUMBER(N114),ISNUMBER(I114)),ROUND(I114-N114,2),"")</f>
        <v/>
      </c>
      <c r="P114" s="9" t="str">
        <f>IF(ISNUMBER(O114),IF(AND(ISNUMBER($G$5),ABS(O114)&gt;$G$5),"Revisa el descuadre",IF(AND(ISNUMBER(J114),ISNUMBER(E114)),IF(ROUND(J114-E114,2)&lt;&gt;0,"El datáfono no cuadra con la tarjeta",""),"")),IF(AND(ISNUMBER(J114),ISNUMBER(E114)),IF(ROUND(J114-E114,2)&lt;&gt;0,"El datáfono no cuadra con la tarjeta",""),""))</f>
        <v/>
      </c>
      <c r="Q114" s="4" t="n"/>
    </row>
    <row r="115">
      <c r="A115" s="7" t="n"/>
      <c r="B115" t="str">
        <f>IF(ISNUMBER(A115),CHOOSE(WEEKDAY(A115,2),"lunes","martes","miércoles","jueves","viernes","sábado","domingo"),"")</f>
        <v/>
      </c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8" t="str">
        <f>IF(AND(ISNUMBER(A115),COUNT(D115:F115)&gt;0),N(D115)+N(E115)+N(F115),"")</f>
        <v/>
      </c>
      <c r="M115" s="8" t="str">
        <f>IF(AND(ISNUMBER(L115),ISNUMBER($C$5),$C$5&gt;=0),ROUND(L115/(1+$C$5/100),2),"")</f>
        <v/>
      </c>
      <c r="N115" s="8" t="str">
        <f>IF(AND(ISNUMBER(A115),COUNT(C115:D115)&gt;0),N(C115)+N(D115)-N(G115)-N(H115),"")</f>
        <v/>
      </c>
      <c r="O115" s="8" t="str">
        <f>IF(AND(ISNUMBER(N115),ISNUMBER(I115)),ROUND(I115-N115,2),"")</f>
        <v/>
      </c>
      <c r="P115" s="9" t="str">
        <f>IF(ISNUMBER(O115),IF(AND(ISNUMBER($G$5),ABS(O115)&gt;$G$5),"Revisa el descuadre",IF(AND(ISNUMBER(J115),ISNUMBER(E115)),IF(ROUND(J115-E115,2)&lt;&gt;0,"El datáfono no cuadra con la tarjeta",""),"")),IF(AND(ISNUMBER(J115),ISNUMBER(E115)),IF(ROUND(J115-E115,2)&lt;&gt;0,"El datáfono no cuadra con la tarjeta",""),""))</f>
        <v/>
      </c>
      <c r="Q115" s="4" t="n"/>
    </row>
    <row r="116">
      <c r="A116" s="7" t="n"/>
      <c r="B116" t="str">
        <f>IF(ISNUMBER(A116),CHOOSE(WEEKDAY(A116,2),"lunes","martes","miércoles","jueves","viernes","sábado","domingo"),"")</f>
        <v/>
      </c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8" t="str">
        <f>IF(AND(ISNUMBER(A116),COUNT(D116:F116)&gt;0),N(D116)+N(E116)+N(F116),"")</f>
        <v/>
      </c>
      <c r="M116" s="8" t="str">
        <f>IF(AND(ISNUMBER(L116),ISNUMBER($C$5),$C$5&gt;=0),ROUND(L116/(1+$C$5/100),2),"")</f>
        <v/>
      </c>
      <c r="N116" s="8" t="str">
        <f>IF(AND(ISNUMBER(A116),COUNT(C116:D116)&gt;0),N(C116)+N(D116)-N(G116)-N(H116),"")</f>
        <v/>
      </c>
      <c r="O116" s="8" t="str">
        <f>IF(AND(ISNUMBER(N116),ISNUMBER(I116)),ROUND(I116-N116,2),"")</f>
        <v/>
      </c>
      <c r="P116" s="9" t="str">
        <f>IF(ISNUMBER(O116),IF(AND(ISNUMBER($G$5),ABS(O116)&gt;$G$5),"Revisa el descuadre",IF(AND(ISNUMBER(J116),ISNUMBER(E116)),IF(ROUND(J116-E116,2)&lt;&gt;0,"El datáfono no cuadra con la tarjeta",""),"")),IF(AND(ISNUMBER(J116),ISNUMBER(E116)),IF(ROUND(J116-E116,2)&lt;&gt;0,"El datáfono no cuadra con la tarjeta",""),""))</f>
        <v/>
      </c>
      <c r="Q116" s="4" t="n"/>
    </row>
    <row r="117">
      <c r="A117" s="7" t="n"/>
      <c r="B117" t="str">
        <f>IF(ISNUMBER(A117),CHOOSE(WEEKDAY(A117,2),"lunes","martes","miércoles","jueves","viernes","sábado","domingo"),"")</f>
        <v/>
      </c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8" t="str">
        <f>IF(AND(ISNUMBER(A117),COUNT(D117:F117)&gt;0),N(D117)+N(E117)+N(F117),"")</f>
        <v/>
      </c>
      <c r="M117" s="8" t="str">
        <f>IF(AND(ISNUMBER(L117),ISNUMBER($C$5),$C$5&gt;=0),ROUND(L117/(1+$C$5/100),2),"")</f>
        <v/>
      </c>
      <c r="N117" s="8" t="str">
        <f>IF(AND(ISNUMBER(A117),COUNT(C117:D117)&gt;0),N(C117)+N(D117)-N(G117)-N(H117),"")</f>
        <v/>
      </c>
      <c r="O117" s="8" t="str">
        <f>IF(AND(ISNUMBER(N117),ISNUMBER(I117)),ROUND(I117-N117,2),"")</f>
        <v/>
      </c>
      <c r="P117" s="9" t="str">
        <f>IF(ISNUMBER(O117),IF(AND(ISNUMBER($G$5),ABS(O117)&gt;$G$5),"Revisa el descuadre",IF(AND(ISNUMBER(J117),ISNUMBER(E117)),IF(ROUND(J117-E117,2)&lt;&gt;0,"El datáfono no cuadra con la tarjeta",""),"")),IF(AND(ISNUMBER(J117),ISNUMBER(E117)),IF(ROUND(J117-E117,2)&lt;&gt;0,"El datáfono no cuadra con la tarjeta",""),""))</f>
        <v/>
      </c>
      <c r="Q117" s="4" t="n"/>
    </row>
    <row r="118">
      <c r="A118" s="7" t="n"/>
      <c r="B118" t="str">
        <f>IF(ISNUMBER(A118),CHOOSE(WEEKDAY(A118,2),"lunes","martes","miércoles","jueves","viernes","sábado","domingo"),"")</f>
        <v/>
      </c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8" t="str">
        <f>IF(AND(ISNUMBER(A118),COUNT(D118:F118)&gt;0),N(D118)+N(E118)+N(F118),"")</f>
        <v/>
      </c>
      <c r="M118" s="8" t="str">
        <f>IF(AND(ISNUMBER(L118),ISNUMBER($C$5),$C$5&gt;=0),ROUND(L118/(1+$C$5/100),2),"")</f>
        <v/>
      </c>
      <c r="N118" s="8" t="str">
        <f>IF(AND(ISNUMBER(A118),COUNT(C118:D118)&gt;0),N(C118)+N(D118)-N(G118)-N(H118),"")</f>
        <v/>
      </c>
      <c r="O118" s="8" t="str">
        <f>IF(AND(ISNUMBER(N118),ISNUMBER(I118)),ROUND(I118-N118,2),"")</f>
        <v/>
      </c>
      <c r="P118" s="9" t="str">
        <f>IF(ISNUMBER(O118),IF(AND(ISNUMBER($G$5),ABS(O118)&gt;$G$5),"Revisa el descuadre",IF(AND(ISNUMBER(J118),ISNUMBER(E118)),IF(ROUND(J118-E118,2)&lt;&gt;0,"El datáfono no cuadra con la tarjeta",""),"")),IF(AND(ISNUMBER(J118),ISNUMBER(E118)),IF(ROUND(J118-E118,2)&lt;&gt;0,"El datáfono no cuadra con la tarjeta",""),""))</f>
        <v/>
      </c>
      <c r="Q118" s="4" t="n"/>
    </row>
    <row r="119">
      <c r="A119" s="7" t="n"/>
      <c r="B119" t="str">
        <f>IF(ISNUMBER(A119),CHOOSE(WEEKDAY(A119,2),"lunes","martes","miércoles","jueves","viernes","sábado","domingo"),"")</f>
        <v/>
      </c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8" t="str">
        <f>IF(AND(ISNUMBER(A119),COUNT(D119:F119)&gt;0),N(D119)+N(E119)+N(F119),"")</f>
        <v/>
      </c>
      <c r="M119" s="8" t="str">
        <f>IF(AND(ISNUMBER(L119),ISNUMBER($C$5),$C$5&gt;=0),ROUND(L119/(1+$C$5/100),2),"")</f>
        <v/>
      </c>
      <c r="N119" s="8" t="str">
        <f>IF(AND(ISNUMBER(A119),COUNT(C119:D119)&gt;0),N(C119)+N(D119)-N(G119)-N(H119),"")</f>
        <v/>
      </c>
      <c r="O119" s="8" t="str">
        <f>IF(AND(ISNUMBER(N119),ISNUMBER(I119)),ROUND(I119-N119,2),"")</f>
        <v/>
      </c>
      <c r="P119" s="9" t="str">
        <f>IF(ISNUMBER(O119),IF(AND(ISNUMBER($G$5),ABS(O119)&gt;$G$5),"Revisa el descuadre",IF(AND(ISNUMBER(J119),ISNUMBER(E119)),IF(ROUND(J119-E119,2)&lt;&gt;0,"El datáfono no cuadra con la tarjeta",""),"")),IF(AND(ISNUMBER(J119),ISNUMBER(E119)),IF(ROUND(J119-E119,2)&lt;&gt;0,"El datáfono no cuadra con la tarjeta",""),""))</f>
        <v/>
      </c>
      <c r="Q119" s="4" t="n"/>
    </row>
    <row r="120">
      <c r="A120" s="7" t="n"/>
      <c r="B120" t="str">
        <f>IF(ISNUMBER(A120),CHOOSE(WEEKDAY(A120,2),"lunes","martes","miércoles","jueves","viernes","sábado","domingo"),"")</f>
        <v/>
      </c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8" t="str">
        <f>IF(AND(ISNUMBER(A120),COUNT(D120:F120)&gt;0),N(D120)+N(E120)+N(F120),"")</f>
        <v/>
      </c>
      <c r="M120" s="8" t="str">
        <f>IF(AND(ISNUMBER(L120),ISNUMBER($C$5),$C$5&gt;=0),ROUND(L120/(1+$C$5/100),2),"")</f>
        <v/>
      </c>
      <c r="N120" s="8" t="str">
        <f>IF(AND(ISNUMBER(A120),COUNT(C120:D120)&gt;0),N(C120)+N(D120)-N(G120)-N(H120),"")</f>
        <v/>
      </c>
      <c r="O120" s="8" t="str">
        <f>IF(AND(ISNUMBER(N120),ISNUMBER(I120)),ROUND(I120-N120,2),"")</f>
        <v/>
      </c>
      <c r="P120" s="9" t="str">
        <f>IF(ISNUMBER(O120),IF(AND(ISNUMBER($G$5),ABS(O120)&gt;$G$5),"Revisa el descuadre",IF(AND(ISNUMBER(J120),ISNUMBER(E120)),IF(ROUND(J120-E120,2)&lt;&gt;0,"El datáfono no cuadra con la tarjeta",""),"")),IF(AND(ISNUMBER(J120),ISNUMBER(E120)),IF(ROUND(J120-E120,2)&lt;&gt;0,"El datáfono no cuadra con la tarjeta",""),""))</f>
        <v/>
      </c>
      <c r="Q120" s="4" t="n"/>
    </row>
    <row r="121">
      <c r="A121" s="7" t="n"/>
      <c r="B121" t="str">
        <f>IF(ISNUMBER(A121),CHOOSE(WEEKDAY(A121,2),"lunes","martes","miércoles","jueves","viernes","sábado","domingo"),"")</f>
        <v/>
      </c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8" t="str">
        <f>IF(AND(ISNUMBER(A121),COUNT(D121:F121)&gt;0),N(D121)+N(E121)+N(F121),"")</f>
        <v/>
      </c>
      <c r="M121" s="8" t="str">
        <f>IF(AND(ISNUMBER(L121),ISNUMBER($C$5),$C$5&gt;=0),ROUND(L121/(1+$C$5/100),2),"")</f>
        <v/>
      </c>
      <c r="N121" s="8" t="str">
        <f>IF(AND(ISNUMBER(A121),COUNT(C121:D121)&gt;0),N(C121)+N(D121)-N(G121)-N(H121),"")</f>
        <v/>
      </c>
      <c r="O121" s="8" t="str">
        <f>IF(AND(ISNUMBER(N121),ISNUMBER(I121)),ROUND(I121-N121,2),"")</f>
        <v/>
      </c>
      <c r="P121" s="9" t="str">
        <f>IF(ISNUMBER(O121),IF(AND(ISNUMBER($G$5),ABS(O121)&gt;$G$5),"Revisa el descuadre",IF(AND(ISNUMBER(J121),ISNUMBER(E121)),IF(ROUND(J121-E121,2)&lt;&gt;0,"El datáfono no cuadra con la tarjeta",""),"")),IF(AND(ISNUMBER(J121),ISNUMBER(E121)),IF(ROUND(J121-E121,2)&lt;&gt;0,"El datáfono no cuadra con la tarjeta",""),""))</f>
        <v/>
      </c>
      <c r="Q121" s="4" t="n"/>
    </row>
    <row r="122">
      <c r="A122" s="7" t="n"/>
      <c r="B122" t="str">
        <f>IF(ISNUMBER(A122),CHOOSE(WEEKDAY(A122,2),"lunes","martes","miércoles","jueves","viernes","sábado","domingo"),"")</f>
        <v/>
      </c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8" t="str">
        <f>IF(AND(ISNUMBER(A122),COUNT(D122:F122)&gt;0),N(D122)+N(E122)+N(F122),"")</f>
        <v/>
      </c>
      <c r="M122" s="8" t="str">
        <f>IF(AND(ISNUMBER(L122),ISNUMBER($C$5),$C$5&gt;=0),ROUND(L122/(1+$C$5/100),2),"")</f>
        <v/>
      </c>
      <c r="N122" s="8" t="str">
        <f>IF(AND(ISNUMBER(A122),COUNT(C122:D122)&gt;0),N(C122)+N(D122)-N(G122)-N(H122),"")</f>
        <v/>
      </c>
      <c r="O122" s="8" t="str">
        <f>IF(AND(ISNUMBER(N122),ISNUMBER(I122)),ROUND(I122-N122,2),"")</f>
        <v/>
      </c>
      <c r="P122" s="9" t="str">
        <f>IF(ISNUMBER(O122),IF(AND(ISNUMBER($G$5),ABS(O122)&gt;$G$5),"Revisa el descuadre",IF(AND(ISNUMBER(J122),ISNUMBER(E122)),IF(ROUND(J122-E122,2)&lt;&gt;0,"El datáfono no cuadra con la tarjeta",""),"")),IF(AND(ISNUMBER(J122),ISNUMBER(E122)),IF(ROUND(J122-E122,2)&lt;&gt;0,"El datáfono no cuadra con la tarjeta",""),""))</f>
        <v/>
      </c>
      <c r="Q122" s="4" t="n"/>
    </row>
    <row r="123">
      <c r="A123" s="7" t="n"/>
      <c r="B123" t="str">
        <f>IF(ISNUMBER(A123),CHOOSE(WEEKDAY(A123,2),"lunes","martes","miércoles","jueves","viernes","sábado","domingo"),"")</f>
        <v/>
      </c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8" t="str">
        <f>IF(AND(ISNUMBER(A123),COUNT(D123:F123)&gt;0),N(D123)+N(E123)+N(F123),"")</f>
        <v/>
      </c>
      <c r="M123" s="8" t="str">
        <f>IF(AND(ISNUMBER(L123),ISNUMBER($C$5),$C$5&gt;=0),ROUND(L123/(1+$C$5/100),2),"")</f>
        <v/>
      </c>
      <c r="N123" s="8" t="str">
        <f>IF(AND(ISNUMBER(A123),COUNT(C123:D123)&gt;0),N(C123)+N(D123)-N(G123)-N(H123),"")</f>
        <v/>
      </c>
      <c r="O123" s="8" t="str">
        <f>IF(AND(ISNUMBER(N123),ISNUMBER(I123)),ROUND(I123-N123,2),"")</f>
        <v/>
      </c>
      <c r="P123" s="9" t="str">
        <f>IF(ISNUMBER(O123),IF(AND(ISNUMBER($G$5),ABS(O123)&gt;$G$5),"Revisa el descuadre",IF(AND(ISNUMBER(J123),ISNUMBER(E123)),IF(ROUND(J123-E123,2)&lt;&gt;0,"El datáfono no cuadra con la tarjeta",""),"")),IF(AND(ISNUMBER(J123),ISNUMBER(E123)),IF(ROUND(J123-E123,2)&lt;&gt;0,"El datáfono no cuadra con la tarjeta",""),""))</f>
        <v/>
      </c>
      <c r="Q123" s="4" t="n"/>
    </row>
    <row r="124">
      <c r="A124" s="7" t="n"/>
      <c r="B124" t="str">
        <f>IF(ISNUMBER(A124),CHOOSE(WEEKDAY(A124,2),"lunes","martes","miércoles","jueves","viernes","sábado","domingo"),"")</f>
        <v/>
      </c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8" t="str">
        <f>IF(AND(ISNUMBER(A124),COUNT(D124:F124)&gt;0),N(D124)+N(E124)+N(F124),"")</f>
        <v/>
      </c>
      <c r="M124" s="8" t="str">
        <f>IF(AND(ISNUMBER(L124),ISNUMBER($C$5),$C$5&gt;=0),ROUND(L124/(1+$C$5/100),2),"")</f>
        <v/>
      </c>
      <c r="N124" s="8" t="str">
        <f>IF(AND(ISNUMBER(A124),COUNT(C124:D124)&gt;0),N(C124)+N(D124)-N(G124)-N(H124),"")</f>
        <v/>
      </c>
      <c r="O124" s="8" t="str">
        <f>IF(AND(ISNUMBER(N124),ISNUMBER(I124)),ROUND(I124-N124,2),"")</f>
        <v/>
      </c>
      <c r="P124" s="9" t="str">
        <f>IF(ISNUMBER(O124),IF(AND(ISNUMBER($G$5),ABS(O124)&gt;$G$5),"Revisa el descuadre",IF(AND(ISNUMBER(J124),ISNUMBER(E124)),IF(ROUND(J124-E124,2)&lt;&gt;0,"El datáfono no cuadra con la tarjeta",""),"")),IF(AND(ISNUMBER(J124),ISNUMBER(E124)),IF(ROUND(J124-E124,2)&lt;&gt;0,"El datáfono no cuadra con la tarjeta",""),""))</f>
        <v/>
      </c>
      <c r="Q124" s="4" t="n"/>
    </row>
    <row r="125">
      <c r="A125" s="7" t="n"/>
      <c r="B125" t="str">
        <f>IF(ISNUMBER(A125),CHOOSE(WEEKDAY(A125,2),"lunes","martes","miércoles","jueves","viernes","sábado","domingo"),"")</f>
        <v/>
      </c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8" t="str">
        <f>IF(AND(ISNUMBER(A125),COUNT(D125:F125)&gt;0),N(D125)+N(E125)+N(F125),"")</f>
        <v/>
      </c>
      <c r="M125" s="8" t="str">
        <f>IF(AND(ISNUMBER(L125),ISNUMBER($C$5),$C$5&gt;=0),ROUND(L125/(1+$C$5/100),2),"")</f>
        <v/>
      </c>
      <c r="N125" s="8" t="str">
        <f>IF(AND(ISNUMBER(A125),COUNT(C125:D125)&gt;0),N(C125)+N(D125)-N(G125)-N(H125),"")</f>
        <v/>
      </c>
      <c r="O125" s="8" t="str">
        <f>IF(AND(ISNUMBER(N125),ISNUMBER(I125)),ROUND(I125-N125,2),"")</f>
        <v/>
      </c>
      <c r="P125" s="9" t="str">
        <f>IF(ISNUMBER(O125),IF(AND(ISNUMBER($G$5),ABS(O125)&gt;$G$5),"Revisa el descuadre",IF(AND(ISNUMBER(J125),ISNUMBER(E125)),IF(ROUND(J125-E125,2)&lt;&gt;0,"El datáfono no cuadra con la tarjeta",""),"")),IF(AND(ISNUMBER(J125),ISNUMBER(E125)),IF(ROUND(J125-E125,2)&lt;&gt;0,"El datáfono no cuadra con la tarjeta",""),""))</f>
        <v/>
      </c>
      <c r="Q125" s="4" t="n"/>
    </row>
    <row r="126">
      <c r="A126" s="7" t="n"/>
      <c r="B126" t="str">
        <f>IF(ISNUMBER(A126),CHOOSE(WEEKDAY(A126,2),"lunes","martes","miércoles","jueves","viernes","sábado","domingo"),"")</f>
        <v/>
      </c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8" t="str">
        <f>IF(AND(ISNUMBER(A126),COUNT(D126:F126)&gt;0),N(D126)+N(E126)+N(F126),"")</f>
        <v/>
      </c>
      <c r="M126" s="8" t="str">
        <f>IF(AND(ISNUMBER(L126),ISNUMBER($C$5),$C$5&gt;=0),ROUND(L126/(1+$C$5/100),2),"")</f>
        <v/>
      </c>
      <c r="N126" s="8" t="str">
        <f>IF(AND(ISNUMBER(A126),COUNT(C126:D126)&gt;0),N(C126)+N(D126)-N(G126)-N(H126),"")</f>
        <v/>
      </c>
      <c r="O126" s="8" t="str">
        <f>IF(AND(ISNUMBER(N126),ISNUMBER(I126)),ROUND(I126-N126,2),"")</f>
        <v/>
      </c>
      <c r="P126" s="9" t="str">
        <f>IF(ISNUMBER(O126),IF(AND(ISNUMBER($G$5),ABS(O126)&gt;$G$5),"Revisa el descuadre",IF(AND(ISNUMBER(J126),ISNUMBER(E126)),IF(ROUND(J126-E126,2)&lt;&gt;0,"El datáfono no cuadra con la tarjeta",""),"")),IF(AND(ISNUMBER(J126),ISNUMBER(E126)),IF(ROUND(J126-E126,2)&lt;&gt;0,"El datáfono no cuadra con la tarjeta",""),""))</f>
        <v/>
      </c>
      <c r="Q126" s="4" t="n"/>
    </row>
    <row r="127">
      <c r="A127" s="7" t="n"/>
      <c r="B127" t="str">
        <f>IF(ISNUMBER(A127),CHOOSE(WEEKDAY(A127,2),"lunes","martes","miércoles","jueves","viernes","sábado","domingo"),"")</f>
        <v/>
      </c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8" t="str">
        <f>IF(AND(ISNUMBER(A127),COUNT(D127:F127)&gt;0),N(D127)+N(E127)+N(F127),"")</f>
        <v/>
      </c>
      <c r="M127" s="8" t="str">
        <f>IF(AND(ISNUMBER(L127),ISNUMBER($C$5),$C$5&gt;=0),ROUND(L127/(1+$C$5/100),2),"")</f>
        <v/>
      </c>
      <c r="N127" s="8" t="str">
        <f>IF(AND(ISNUMBER(A127),COUNT(C127:D127)&gt;0),N(C127)+N(D127)-N(G127)-N(H127),"")</f>
        <v/>
      </c>
      <c r="O127" s="8" t="str">
        <f>IF(AND(ISNUMBER(N127),ISNUMBER(I127)),ROUND(I127-N127,2),"")</f>
        <v/>
      </c>
      <c r="P127" s="9" t="str">
        <f>IF(ISNUMBER(O127),IF(AND(ISNUMBER($G$5),ABS(O127)&gt;$G$5),"Revisa el descuadre",IF(AND(ISNUMBER(J127),ISNUMBER(E127)),IF(ROUND(J127-E127,2)&lt;&gt;0,"El datáfono no cuadra con la tarjeta",""),"")),IF(AND(ISNUMBER(J127),ISNUMBER(E127)),IF(ROUND(J127-E127,2)&lt;&gt;0,"El datáfono no cuadra con la tarjeta",""),""))</f>
        <v/>
      </c>
      <c r="Q127" s="4" t="n"/>
    </row>
    <row r="128">
      <c r="A128" s="7" t="n"/>
      <c r="B128" t="str">
        <f>IF(ISNUMBER(A128),CHOOSE(WEEKDAY(A128,2),"lunes","martes","miércoles","jueves","viernes","sábado","domingo"),"")</f>
        <v/>
      </c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8" t="str">
        <f>IF(AND(ISNUMBER(A128),COUNT(D128:F128)&gt;0),N(D128)+N(E128)+N(F128),"")</f>
        <v/>
      </c>
      <c r="M128" s="8" t="str">
        <f>IF(AND(ISNUMBER(L128),ISNUMBER($C$5),$C$5&gt;=0),ROUND(L128/(1+$C$5/100),2),"")</f>
        <v/>
      </c>
      <c r="N128" s="8" t="str">
        <f>IF(AND(ISNUMBER(A128),COUNT(C128:D128)&gt;0),N(C128)+N(D128)-N(G128)-N(H128),"")</f>
        <v/>
      </c>
      <c r="O128" s="8" t="str">
        <f>IF(AND(ISNUMBER(N128),ISNUMBER(I128)),ROUND(I128-N128,2),"")</f>
        <v/>
      </c>
      <c r="P128" s="9" t="str">
        <f>IF(ISNUMBER(O128),IF(AND(ISNUMBER($G$5),ABS(O128)&gt;$G$5),"Revisa el descuadre",IF(AND(ISNUMBER(J128),ISNUMBER(E128)),IF(ROUND(J128-E128,2)&lt;&gt;0,"El datáfono no cuadra con la tarjeta",""),"")),IF(AND(ISNUMBER(J128),ISNUMBER(E128)),IF(ROUND(J128-E128,2)&lt;&gt;0,"El datáfono no cuadra con la tarjeta",""),""))</f>
        <v/>
      </c>
      <c r="Q128" s="4" t="n"/>
    </row>
    <row r="129">
      <c r="A129" s="7" t="n"/>
      <c r="B129" t="str">
        <f>IF(ISNUMBER(A129),CHOOSE(WEEKDAY(A129,2),"lunes","martes","miércoles","jueves","viernes","sábado","domingo"),"")</f>
        <v/>
      </c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8" t="str">
        <f>IF(AND(ISNUMBER(A129),COUNT(D129:F129)&gt;0),N(D129)+N(E129)+N(F129),"")</f>
        <v/>
      </c>
      <c r="M129" s="8" t="str">
        <f>IF(AND(ISNUMBER(L129),ISNUMBER($C$5),$C$5&gt;=0),ROUND(L129/(1+$C$5/100),2),"")</f>
        <v/>
      </c>
      <c r="N129" s="8" t="str">
        <f>IF(AND(ISNUMBER(A129),COUNT(C129:D129)&gt;0),N(C129)+N(D129)-N(G129)-N(H129),"")</f>
        <v/>
      </c>
      <c r="O129" s="8" t="str">
        <f>IF(AND(ISNUMBER(N129),ISNUMBER(I129)),ROUND(I129-N129,2),"")</f>
        <v/>
      </c>
      <c r="P129" s="9" t="str">
        <f>IF(ISNUMBER(O129),IF(AND(ISNUMBER($G$5),ABS(O129)&gt;$G$5),"Revisa el descuadre",IF(AND(ISNUMBER(J129),ISNUMBER(E129)),IF(ROUND(J129-E129,2)&lt;&gt;0,"El datáfono no cuadra con la tarjeta",""),"")),IF(AND(ISNUMBER(J129),ISNUMBER(E129)),IF(ROUND(J129-E129,2)&lt;&gt;0,"El datáfono no cuadra con la tarjeta",""),""))</f>
        <v/>
      </c>
      <c r="Q129" s="4" t="n"/>
    </row>
    <row r="130">
      <c r="A130" s="7" t="n"/>
      <c r="B130" t="str">
        <f>IF(ISNUMBER(A130),CHOOSE(WEEKDAY(A130,2),"lunes","martes","miércoles","jueves","viernes","sábado","domingo"),"")</f>
        <v/>
      </c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8" t="str">
        <f>IF(AND(ISNUMBER(A130),COUNT(D130:F130)&gt;0),N(D130)+N(E130)+N(F130),"")</f>
        <v/>
      </c>
      <c r="M130" s="8" t="str">
        <f>IF(AND(ISNUMBER(L130),ISNUMBER($C$5),$C$5&gt;=0),ROUND(L130/(1+$C$5/100),2),"")</f>
        <v/>
      </c>
      <c r="N130" s="8" t="str">
        <f>IF(AND(ISNUMBER(A130),COUNT(C130:D130)&gt;0),N(C130)+N(D130)-N(G130)-N(H130),"")</f>
        <v/>
      </c>
      <c r="O130" s="8" t="str">
        <f>IF(AND(ISNUMBER(N130),ISNUMBER(I130)),ROUND(I130-N130,2),"")</f>
        <v/>
      </c>
      <c r="P130" s="9" t="str">
        <f>IF(ISNUMBER(O130),IF(AND(ISNUMBER($G$5),ABS(O130)&gt;$G$5),"Revisa el descuadre",IF(AND(ISNUMBER(J130),ISNUMBER(E130)),IF(ROUND(J130-E130,2)&lt;&gt;0,"El datáfono no cuadra con la tarjeta",""),"")),IF(AND(ISNUMBER(J130),ISNUMBER(E130)),IF(ROUND(J130-E130,2)&lt;&gt;0,"El datáfono no cuadra con la tarjeta",""),""))</f>
        <v/>
      </c>
      <c r="Q130" s="4" t="n"/>
    </row>
    <row r="131">
      <c r="A131" s="7" t="n"/>
      <c r="B131" t="str">
        <f>IF(ISNUMBER(A131),CHOOSE(WEEKDAY(A131,2),"lunes","martes","miércoles","jueves","viernes","sábado","domingo"),"")</f>
        <v/>
      </c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8" t="str">
        <f>IF(AND(ISNUMBER(A131),COUNT(D131:F131)&gt;0),N(D131)+N(E131)+N(F131),"")</f>
        <v/>
      </c>
      <c r="M131" s="8" t="str">
        <f>IF(AND(ISNUMBER(L131),ISNUMBER($C$5),$C$5&gt;=0),ROUND(L131/(1+$C$5/100),2),"")</f>
        <v/>
      </c>
      <c r="N131" s="8" t="str">
        <f>IF(AND(ISNUMBER(A131),COUNT(C131:D131)&gt;0),N(C131)+N(D131)-N(G131)-N(H131),"")</f>
        <v/>
      </c>
      <c r="O131" s="8" t="str">
        <f>IF(AND(ISNUMBER(N131),ISNUMBER(I131)),ROUND(I131-N131,2),"")</f>
        <v/>
      </c>
      <c r="P131" s="9" t="str">
        <f>IF(ISNUMBER(O131),IF(AND(ISNUMBER($G$5),ABS(O131)&gt;$G$5),"Revisa el descuadre",IF(AND(ISNUMBER(J131),ISNUMBER(E131)),IF(ROUND(J131-E131,2)&lt;&gt;0,"El datáfono no cuadra con la tarjeta",""),"")),IF(AND(ISNUMBER(J131),ISNUMBER(E131)),IF(ROUND(J131-E131,2)&lt;&gt;0,"El datáfono no cuadra con la tarjeta",""),""))</f>
        <v/>
      </c>
      <c r="Q131" s="4" t="n"/>
    </row>
    <row r="132">
      <c r="A132" s="7" t="n"/>
      <c r="B132" t="str">
        <f>IF(ISNUMBER(A132),CHOOSE(WEEKDAY(A132,2),"lunes","martes","miércoles","jueves","viernes","sábado","domingo"),"")</f>
        <v/>
      </c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8" t="str">
        <f>IF(AND(ISNUMBER(A132),COUNT(D132:F132)&gt;0),N(D132)+N(E132)+N(F132),"")</f>
        <v/>
      </c>
      <c r="M132" s="8" t="str">
        <f>IF(AND(ISNUMBER(L132),ISNUMBER($C$5),$C$5&gt;=0),ROUND(L132/(1+$C$5/100),2),"")</f>
        <v/>
      </c>
      <c r="N132" s="8" t="str">
        <f>IF(AND(ISNUMBER(A132),COUNT(C132:D132)&gt;0),N(C132)+N(D132)-N(G132)-N(H132),"")</f>
        <v/>
      </c>
      <c r="O132" s="8" t="str">
        <f>IF(AND(ISNUMBER(N132),ISNUMBER(I132)),ROUND(I132-N132,2),"")</f>
        <v/>
      </c>
      <c r="P132" s="9" t="str">
        <f>IF(ISNUMBER(O132),IF(AND(ISNUMBER($G$5),ABS(O132)&gt;$G$5),"Revisa el descuadre",IF(AND(ISNUMBER(J132),ISNUMBER(E132)),IF(ROUND(J132-E132,2)&lt;&gt;0,"El datáfono no cuadra con la tarjeta",""),"")),IF(AND(ISNUMBER(J132),ISNUMBER(E132)),IF(ROUND(J132-E132,2)&lt;&gt;0,"El datáfono no cuadra con la tarjeta",""),""))</f>
        <v/>
      </c>
      <c r="Q132" s="4" t="n"/>
    </row>
    <row r="133">
      <c r="A133" s="7" t="n"/>
      <c r="B133" t="str">
        <f>IF(ISNUMBER(A133),CHOOSE(WEEKDAY(A133,2),"lunes","martes","miércoles","jueves","viernes","sábado","domingo"),"")</f>
        <v/>
      </c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8" t="str">
        <f>IF(AND(ISNUMBER(A133),COUNT(D133:F133)&gt;0),N(D133)+N(E133)+N(F133),"")</f>
        <v/>
      </c>
      <c r="M133" s="8" t="str">
        <f>IF(AND(ISNUMBER(L133),ISNUMBER($C$5),$C$5&gt;=0),ROUND(L133/(1+$C$5/100),2),"")</f>
        <v/>
      </c>
      <c r="N133" s="8" t="str">
        <f>IF(AND(ISNUMBER(A133),COUNT(C133:D133)&gt;0),N(C133)+N(D133)-N(G133)-N(H133),"")</f>
        <v/>
      </c>
      <c r="O133" s="8" t="str">
        <f>IF(AND(ISNUMBER(N133),ISNUMBER(I133)),ROUND(I133-N133,2),"")</f>
        <v/>
      </c>
      <c r="P133" s="9" t="str">
        <f>IF(ISNUMBER(O133),IF(AND(ISNUMBER($G$5),ABS(O133)&gt;$G$5),"Revisa el descuadre",IF(AND(ISNUMBER(J133),ISNUMBER(E133)),IF(ROUND(J133-E133,2)&lt;&gt;0,"El datáfono no cuadra con la tarjeta",""),"")),IF(AND(ISNUMBER(J133),ISNUMBER(E133)),IF(ROUND(J133-E133,2)&lt;&gt;0,"El datáfono no cuadra con la tarjeta",""),""))</f>
        <v/>
      </c>
      <c r="Q133" s="4" t="n"/>
    </row>
    <row r="134">
      <c r="A134" s="7" t="n"/>
      <c r="B134" t="str">
        <f>IF(ISNUMBER(A134),CHOOSE(WEEKDAY(A134,2),"lunes","martes","miércoles","jueves","viernes","sábado","domingo"),"")</f>
        <v/>
      </c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8" t="str">
        <f>IF(AND(ISNUMBER(A134),COUNT(D134:F134)&gt;0),N(D134)+N(E134)+N(F134),"")</f>
        <v/>
      </c>
      <c r="M134" s="8" t="str">
        <f>IF(AND(ISNUMBER(L134),ISNUMBER($C$5),$C$5&gt;=0),ROUND(L134/(1+$C$5/100),2),"")</f>
        <v/>
      </c>
      <c r="N134" s="8" t="str">
        <f>IF(AND(ISNUMBER(A134),COUNT(C134:D134)&gt;0),N(C134)+N(D134)-N(G134)-N(H134),"")</f>
        <v/>
      </c>
      <c r="O134" s="8" t="str">
        <f>IF(AND(ISNUMBER(N134),ISNUMBER(I134)),ROUND(I134-N134,2),"")</f>
        <v/>
      </c>
      <c r="P134" s="9" t="str">
        <f>IF(ISNUMBER(O134),IF(AND(ISNUMBER($G$5),ABS(O134)&gt;$G$5),"Revisa el descuadre",IF(AND(ISNUMBER(J134),ISNUMBER(E134)),IF(ROUND(J134-E134,2)&lt;&gt;0,"El datáfono no cuadra con la tarjeta",""),"")),IF(AND(ISNUMBER(J134),ISNUMBER(E134)),IF(ROUND(J134-E134,2)&lt;&gt;0,"El datáfono no cuadra con la tarjeta",""),""))</f>
        <v/>
      </c>
      <c r="Q134" s="4" t="n"/>
    </row>
    <row r="135">
      <c r="A135" s="7" t="n"/>
      <c r="B135" t="str">
        <f>IF(ISNUMBER(A135),CHOOSE(WEEKDAY(A135,2),"lunes","martes","miércoles","jueves","viernes","sábado","domingo"),"")</f>
        <v/>
      </c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8" t="str">
        <f>IF(AND(ISNUMBER(A135),COUNT(D135:F135)&gt;0),N(D135)+N(E135)+N(F135),"")</f>
        <v/>
      </c>
      <c r="M135" s="8" t="str">
        <f>IF(AND(ISNUMBER(L135),ISNUMBER($C$5),$C$5&gt;=0),ROUND(L135/(1+$C$5/100),2),"")</f>
        <v/>
      </c>
      <c r="N135" s="8" t="str">
        <f>IF(AND(ISNUMBER(A135),COUNT(C135:D135)&gt;0),N(C135)+N(D135)-N(G135)-N(H135),"")</f>
        <v/>
      </c>
      <c r="O135" s="8" t="str">
        <f>IF(AND(ISNUMBER(N135),ISNUMBER(I135)),ROUND(I135-N135,2),"")</f>
        <v/>
      </c>
      <c r="P135" s="9" t="str">
        <f>IF(ISNUMBER(O135),IF(AND(ISNUMBER($G$5),ABS(O135)&gt;$G$5),"Revisa el descuadre",IF(AND(ISNUMBER(J135),ISNUMBER(E135)),IF(ROUND(J135-E135,2)&lt;&gt;0,"El datáfono no cuadra con la tarjeta",""),"")),IF(AND(ISNUMBER(J135),ISNUMBER(E135)),IF(ROUND(J135-E135,2)&lt;&gt;0,"El datáfono no cuadra con la tarjeta",""),""))</f>
        <v/>
      </c>
      <c r="Q135" s="4" t="n"/>
    </row>
    <row r="136">
      <c r="A136" s="7" t="n"/>
      <c r="B136" t="str">
        <f>IF(ISNUMBER(A136),CHOOSE(WEEKDAY(A136,2),"lunes","martes","miércoles","jueves","viernes","sábado","domingo"),"")</f>
        <v/>
      </c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8" t="str">
        <f>IF(AND(ISNUMBER(A136),COUNT(D136:F136)&gt;0),N(D136)+N(E136)+N(F136),"")</f>
        <v/>
      </c>
      <c r="M136" s="8" t="str">
        <f>IF(AND(ISNUMBER(L136),ISNUMBER($C$5),$C$5&gt;=0),ROUND(L136/(1+$C$5/100),2),"")</f>
        <v/>
      </c>
      <c r="N136" s="8" t="str">
        <f>IF(AND(ISNUMBER(A136),COUNT(C136:D136)&gt;0),N(C136)+N(D136)-N(G136)-N(H136),"")</f>
        <v/>
      </c>
      <c r="O136" s="8" t="str">
        <f>IF(AND(ISNUMBER(N136),ISNUMBER(I136)),ROUND(I136-N136,2),"")</f>
        <v/>
      </c>
      <c r="P136" s="9" t="str">
        <f>IF(ISNUMBER(O136),IF(AND(ISNUMBER($G$5),ABS(O136)&gt;$G$5),"Revisa el descuadre",IF(AND(ISNUMBER(J136),ISNUMBER(E136)),IF(ROUND(J136-E136,2)&lt;&gt;0,"El datáfono no cuadra con la tarjeta",""),"")),IF(AND(ISNUMBER(J136),ISNUMBER(E136)),IF(ROUND(J136-E136,2)&lt;&gt;0,"El datáfono no cuadra con la tarjeta",""),""))</f>
        <v/>
      </c>
      <c r="Q136" s="4" t="n"/>
    </row>
    <row r="137">
      <c r="A137" s="7" t="n"/>
      <c r="B137" t="str">
        <f>IF(ISNUMBER(A137),CHOOSE(WEEKDAY(A137,2),"lunes","martes","miércoles","jueves","viernes","sábado","domingo"),"")</f>
        <v/>
      </c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8" t="str">
        <f>IF(AND(ISNUMBER(A137),COUNT(D137:F137)&gt;0),N(D137)+N(E137)+N(F137),"")</f>
        <v/>
      </c>
      <c r="M137" s="8" t="str">
        <f>IF(AND(ISNUMBER(L137),ISNUMBER($C$5),$C$5&gt;=0),ROUND(L137/(1+$C$5/100),2),"")</f>
        <v/>
      </c>
      <c r="N137" s="8" t="str">
        <f>IF(AND(ISNUMBER(A137),COUNT(C137:D137)&gt;0),N(C137)+N(D137)-N(G137)-N(H137),"")</f>
        <v/>
      </c>
      <c r="O137" s="8" t="str">
        <f>IF(AND(ISNUMBER(N137),ISNUMBER(I137)),ROUND(I137-N137,2),"")</f>
        <v/>
      </c>
      <c r="P137" s="9" t="str">
        <f>IF(ISNUMBER(O137),IF(AND(ISNUMBER($G$5),ABS(O137)&gt;$G$5),"Revisa el descuadre",IF(AND(ISNUMBER(J137),ISNUMBER(E137)),IF(ROUND(J137-E137,2)&lt;&gt;0,"El datáfono no cuadra con la tarjeta",""),"")),IF(AND(ISNUMBER(J137),ISNUMBER(E137)),IF(ROUND(J137-E137,2)&lt;&gt;0,"El datáfono no cuadra con la tarjeta",""),""))</f>
        <v/>
      </c>
      <c r="Q137" s="4" t="n"/>
    </row>
    <row r="138">
      <c r="A138" s="7" t="n"/>
      <c r="B138" t="str">
        <f>IF(ISNUMBER(A138),CHOOSE(WEEKDAY(A138,2),"lunes","martes","miércoles","jueves","viernes","sábado","domingo"),"")</f>
        <v/>
      </c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8" t="str">
        <f>IF(AND(ISNUMBER(A138),COUNT(D138:F138)&gt;0),N(D138)+N(E138)+N(F138),"")</f>
        <v/>
      </c>
      <c r="M138" s="8" t="str">
        <f>IF(AND(ISNUMBER(L138),ISNUMBER($C$5),$C$5&gt;=0),ROUND(L138/(1+$C$5/100),2),"")</f>
        <v/>
      </c>
      <c r="N138" s="8" t="str">
        <f>IF(AND(ISNUMBER(A138),COUNT(C138:D138)&gt;0),N(C138)+N(D138)-N(G138)-N(H138),"")</f>
        <v/>
      </c>
      <c r="O138" s="8" t="str">
        <f>IF(AND(ISNUMBER(N138),ISNUMBER(I138)),ROUND(I138-N138,2),"")</f>
        <v/>
      </c>
      <c r="P138" s="9" t="str">
        <f>IF(ISNUMBER(O138),IF(AND(ISNUMBER($G$5),ABS(O138)&gt;$G$5),"Revisa el descuadre",IF(AND(ISNUMBER(J138),ISNUMBER(E138)),IF(ROUND(J138-E138,2)&lt;&gt;0,"El datáfono no cuadra con la tarjeta",""),"")),IF(AND(ISNUMBER(J138),ISNUMBER(E138)),IF(ROUND(J138-E138,2)&lt;&gt;0,"El datáfono no cuadra con la tarjeta",""),""))</f>
        <v/>
      </c>
      <c r="Q138" s="4" t="n"/>
    </row>
    <row r="139">
      <c r="A139" s="7" t="n"/>
      <c r="B139" t="str">
        <f>IF(ISNUMBER(A139),CHOOSE(WEEKDAY(A139,2),"lunes","martes","miércoles","jueves","viernes","sábado","domingo"),"")</f>
        <v/>
      </c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8" t="str">
        <f>IF(AND(ISNUMBER(A139),COUNT(D139:F139)&gt;0),N(D139)+N(E139)+N(F139),"")</f>
        <v/>
      </c>
      <c r="M139" s="8" t="str">
        <f>IF(AND(ISNUMBER(L139),ISNUMBER($C$5),$C$5&gt;=0),ROUND(L139/(1+$C$5/100),2),"")</f>
        <v/>
      </c>
      <c r="N139" s="8" t="str">
        <f>IF(AND(ISNUMBER(A139),COUNT(C139:D139)&gt;0),N(C139)+N(D139)-N(G139)-N(H139),"")</f>
        <v/>
      </c>
      <c r="O139" s="8" t="str">
        <f>IF(AND(ISNUMBER(N139),ISNUMBER(I139)),ROUND(I139-N139,2),"")</f>
        <v/>
      </c>
      <c r="P139" s="9" t="str">
        <f>IF(ISNUMBER(O139),IF(AND(ISNUMBER($G$5),ABS(O139)&gt;$G$5),"Revisa el descuadre",IF(AND(ISNUMBER(J139),ISNUMBER(E139)),IF(ROUND(J139-E139,2)&lt;&gt;0,"El datáfono no cuadra con la tarjeta",""),"")),IF(AND(ISNUMBER(J139),ISNUMBER(E139)),IF(ROUND(J139-E139,2)&lt;&gt;0,"El datáfono no cuadra con la tarjeta",""),""))</f>
        <v/>
      </c>
      <c r="Q139" s="4" t="n"/>
    </row>
    <row r="140">
      <c r="A140" s="7" t="n"/>
      <c r="B140" t="str">
        <f>IF(ISNUMBER(A140),CHOOSE(WEEKDAY(A140,2),"lunes","martes","miércoles","jueves","viernes","sábado","domingo"),"")</f>
        <v/>
      </c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8" t="str">
        <f>IF(AND(ISNUMBER(A140),COUNT(D140:F140)&gt;0),N(D140)+N(E140)+N(F140),"")</f>
        <v/>
      </c>
      <c r="M140" s="8" t="str">
        <f>IF(AND(ISNUMBER(L140),ISNUMBER($C$5),$C$5&gt;=0),ROUND(L140/(1+$C$5/100),2),"")</f>
        <v/>
      </c>
      <c r="N140" s="8" t="str">
        <f>IF(AND(ISNUMBER(A140),COUNT(C140:D140)&gt;0),N(C140)+N(D140)-N(G140)-N(H140),"")</f>
        <v/>
      </c>
      <c r="O140" s="8" t="str">
        <f>IF(AND(ISNUMBER(N140),ISNUMBER(I140)),ROUND(I140-N140,2),"")</f>
        <v/>
      </c>
      <c r="P140" s="9" t="str">
        <f>IF(ISNUMBER(O140),IF(AND(ISNUMBER($G$5),ABS(O140)&gt;$G$5),"Revisa el descuadre",IF(AND(ISNUMBER(J140),ISNUMBER(E140)),IF(ROUND(J140-E140,2)&lt;&gt;0,"El datáfono no cuadra con la tarjeta",""),"")),IF(AND(ISNUMBER(J140),ISNUMBER(E140)),IF(ROUND(J140-E140,2)&lt;&gt;0,"El datáfono no cuadra con la tarjeta",""),""))</f>
        <v/>
      </c>
      <c r="Q140" s="4" t="n"/>
    </row>
    <row r="141">
      <c r="A141" s="7" t="n"/>
      <c r="B141" t="str">
        <f>IF(ISNUMBER(A141),CHOOSE(WEEKDAY(A141,2),"lunes","martes","miércoles","jueves","viernes","sábado","domingo"),"")</f>
        <v/>
      </c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8" t="str">
        <f>IF(AND(ISNUMBER(A141),COUNT(D141:F141)&gt;0),N(D141)+N(E141)+N(F141),"")</f>
        <v/>
      </c>
      <c r="M141" s="8" t="str">
        <f>IF(AND(ISNUMBER(L141),ISNUMBER($C$5),$C$5&gt;=0),ROUND(L141/(1+$C$5/100),2),"")</f>
        <v/>
      </c>
      <c r="N141" s="8" t="str">
        <f>IF(AND(ISNUMBER(A141),COUNT(C141:D141)&gt;0),N(C141)+N(D141)-N(G141)-N(H141),"")</f>
        <v/>
      </c>
      <c r="O141" s="8" t="str">
        <f>IF(AND(ISNUMBER(N141),ISNUMBER(I141)),ROUND(I141-N141,2),"")</f>
        <v/>
      </c>
      <c r="P141" s="9" t="str">
        <f>IF(ISNUMBER(O141),IF(AND(ISNUMBER($G$5),ABS(O141)&gt;$G$5),"Revisa el descuadre",IF(AND(ISNUMBER(J141),ISNUMBER(E141)),IF(ROUND(J141-E141,2)&lt;&gt;0,"El datáfono no cuadra con la tarjeta",""),"")),IF(AND(ISNUMBER(J141),ISNUMBER(E141)),IF(ROUND(J141-E141,2)&lt;&gt;0,"El datáfono no cuadra con la tarjeta",""),""))</f>
        <v/>
      </c>
      <c r="Q141" s="4" t="n"/>
    </row>
    <row r="142">
      <c r="A142" s="7" t="n"/>
      <c r="B142" t="str">
        <f>IF(ISNUMBER(A142),CHOOSE(WEEKDAY(A142,2),"lunes","martes","miércoles","jueves","viernes","sábado","domingo"),"")</f>
        <v/>
      </c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8" t="str">
        <f>IF(AND(ISNUMBER(A142),COUNT(D142:F142)&gt;0),N(D142)+N(E142)+N(F142),"")</f>
        <v/>
      </c>
      <c r="M142" s="8" t="str">
        <f>IF(AND(ISNUMBER(L142),ISNUMBER($C$5),$C$5&gt;=0),ROUND(L142/(1+$C$5/100),2),"")</f>
        <v/>
      </c>
      <c r="N142" s="8" t="str">
        <f>IF(AND(ISNUMBER(A142),COUNT(C142:D142)&gt;0),N(C142)+N(D142)-N(G142)-N(H142),"")</f>
        <v/>
      </c>
      <c r="O142" s="8" t="str">
        <f>IF(AND(ISNUMBER(N142),ISNUMBER(I142)),ROUND(I142-N142,2),"")</f>
        <v/>
      </c>
      <c r="P142" s="9" t="str">
        <f>IF(ISNUMBER(O142),IF(AND(ISNUMBER($G$5),ABS(O142)&gt;$G$5),"Revisa el descuadre",IF(AND(ISNUMBER(J142),ISNUMBER(E142)),IF(ROUND(J142-E142,2)&lt;&gt;0,"El datáfono no cuadra con la tarjeta",""),"")),IF(AND(ISNUMBER(J142),ISNUMBER(E142)),IF(ROUND(J142-E142,2)&lt;&gt;0,"El datáfono no cuadra con la tarjeta",""),""))</f>
        <v/>
      </c>
      <c r="Q142" s="4" t="n"/>
    </row>
    <row r="143">
      <c r="A143" s="7" t="n"/>
      <c r="B143" t="str">
        <f>IF(ISNUMBER(A143),CHOOSE(WEEKDAY(A143,2),"lunes","martes","miércoles","jueves","viernes","sábado","domingo"),"")</f>
        <v/>
      </c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8" t="str">
        <f>IF(AND(ISNUMBER(A143),COUNT(D143:F143)&gt;0),N(D143)+N(E143)+N(F143),"")</f>
        <v/>
      </c>
      <c r="M143" s="8" t="str">
        <f>IF(AND(ISNUMBER(L143),ISNUMBER($C$5),$C$5&gt;=0),ROUND(L143/(1+$C$5/100),2),"")</f>
        <v/>
      </c>
      <c r="N143" s="8" t="str">
        <f>IF(AND(ISNUMBER(A143),COUNT(C143:D143)&gt;0),N(C143)+N(D143)-N(G143)-N(H143),"")</f>
        <v/>
      </c>
      <c r="O143" s="8" t="str">
        <f>IF(AND(ISNUMBER(N143),ISNUMBER(I143)),ROUND(I143-N143,2),"")</f>
        <v/>
      </c>
      <c r="P143" s="9" t="str">
        <f>IF(ISNUMBER(O143),IF(AND(ISNUMBER($G$5),ABS(O143)&gt;$G$5),"Revisa el descuadre",IF(AND(ISNUMBER(J143),ISNUMBER(E143)),IF(ROUND(J143-E143,2)&lt;&gt;0,"El datáfono no cuadra con la tarjeta",""),"")),IF(AND(ISNUMBER(J143),ISNUMBER(E143)),IF(ROUND(J143-E143,2)&lt;&gt;0,"El datáfono no cuadra con la tarjeta",""),""))</f>
        <v/>
      </c>
      <c r="Q143" s="4" t="n"/>
    </row>
    <row r="144">
      <c r="A144" s="7" t="n"/>
      <c r="B144" t="str">
        <f>IF(ISNUMBER(A144),CHOOSE(WEEKDAY(A144,2),"lunes","martes","miércoles","jueves","viernes","sábado","domingo"),"")</f>
        <v/>
      </c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8" t="str">
        <f>IF(AND(ISNUMBER(A144),COUNT(D144:F144)&gt;0),N(D144)+N(E144)+N(F144),"")</f>
        <v/>
      </c>
      <c r="M144" s="8" t="str">
        <f>IF(AND(ISNUMBER(L144),ISNUMBER($C$5),$C$5&gt;=0),ROUND(L144/(1+$C$5/100),2),"")</f>
        <v/>
      </c>
      <c r="N144" s="8" t="str">
        <f>IF(AND(ISNUMBER(A144),COUNT(C144:D144)&gt;0),N(C144)+N(D144)-N(G144)-N(H144),"")</f>
        <v/>
      </c>
      <c r="O144" s="8" t="str">
        <f>IF(AND(ISNUMBER(N144),ISNUMBER(I144)),ROUND(I144-N144,2),"")</f>
        <v/>
      </c>
      <c r="P144" s="9" t="str">
        <f>IF(ISNUMBER(O144),IF(AND(ISNUMBER($G$5),ABS(O144)&gt;$G$5),"Revisa el descuadre",IF(AND(ISNUMBER(J144),ISNUMBER(E144)),IF(ROUND(J144-E144,2)&lt;&gt;0,"El datáfono no cuadra con la tarjeta",""),"")),IF(AND(ISNUMBER(J144),ISNUMBER(E144)),IF(ROUND(J144-E144,2)&lt;&gt;0,"El datáfono no cuadra con la tarjeta",""),""))</f>
        <v/>
      </c>
      <c r="Q144" s="4" t="n"/>
    </row>
    <row r="145">
      <c r="A145" s="7" t="n"/>
      <c r="B145" t="str">
        <f>IF(ISNUMBER(A145),CHOOSE(WEEKDAY(A145,2),"lunes","martes","miércoles","jueves","viernes","sábado","domingo"),"")</f>
        <v/>
      </c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8" t="str">
        <f>IF(AND(ISNUMBER(A145),COUNT(D145:F145)&gt;0),N(D145)+N(E145)+N(F145),"")</f>
        <v/>
      </c>
      <c r="M145" s="8" t="str">
        <f>IF(AND(ISNUMBER(L145),ISNUMBER($C$5),$C$5&gt;=0),ROUND(L145/(1+$C$5/100),2),"")</f>
        <v/>
      </c>
      <c r="N145" s="8" t="str">
        <f>IF(AND(ISNUMBER(A145),COUNT(C145:D145)&gt;0),N(C145)+N(D145)-N(G145)-N(H145),"")</f>
        <v/>
      </c>
      <c r="O145" s="8" t="str">
        <f>IF(AND(ISNUMBER(N145),ISNUMBER(I145)),ROUND(I145-N145,2),"")</f>
        <v/>
      </c>
      <c r="P145" s="9" t="str">
        <f>IF(ISNUMBER(O145),IF(AND(ISNUMBER($G$5),ABS(O145)&gt;$G$5),"Revisa el descuadre",IF(AND(ISNUMBER(J145),ISNUMBER(E145)),IF(ROUND(J145-E145,2)&lt;&gt;0,"El datáfono no cuadra con la tarjeta",""),"")),IF(AND(ISNUMBER(J145),ISNUMBER(E145)),IF(ROUND(J145-E145,2)&lt;&gt;0,"El datáfono no cuadra con la tarjeta",""),""))</f>
        <v/>
      </c>
      <c r="Q145" s="4" t="n"/>
    </row>
    <row r="146">
      <c r="A146" s="7" t="n"/>
      <c r="B146" t="str">
        <f>IF(ISNUMBER(A146),CHOOSE(WEEKDAY(A146,2),"lunes","martes","miércoles","jueves","viernes","sábado","domingo"),"")</f>
        <v/>
      </c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8" t="str">
        <f>IF(AND(ISNUMBER(A146),COUNT(D146:F146)&gt;0),N(D146)+N(E146)+N(F146),"")</f>
        <v/>
      </c>
      <c r="M146" s="8" t="str">
        <f>IF(AND(ISNUMBER(L146),ISNUMBER($C$5),$C$5&gt;=0),ROUND(L146/(1+$C$5/100),2),"")</f>
        <v/>
      </c>
      <c r="N146" s="8" t="str">
        <f>IF(AND(ISNUMBER(A146),COUNT(C146:D146)&gt;0),N(C146)+N(D146)-N(G146)-N(H146),"")</f>
        <v/>
      </c>
      <c r="O146" s="8" t="str">
        <f>IF(AND(ISNUMBER(N146),ISNUMBER(I146)),ROUND(I146-N146,2),"")</f>
        <v/>
      </c>
      <c r="P146" s="9" t="str">
        <f>IF(ISNUMBER(O146),IF(AND(ISNUMBER($G$5),ABS(O146)&gt;$G$5),"Revisa el descuadre",IF(AND(ISNUMBER(J146),ISNUMBER(E146)),IF(ROUND(J146-E146,2)&lt;&gt;0,"El datáfono no cuadra con la tarjeta",""),"")),IF(AND(ISNUMBER(J146),ISNUMBER(E146)),IF(ROUND(J146-E146,2)&lt;&gt;0,"El datáfono no cuadra con la tarjeta",""),""))</f>
        <v/>
      </c>
      <c r="Q146" s="4" t="n"/>
    </row>
    <row r="147">
      <c r="A147" s="7" t="n"/>
      <c r="B147" t="str">
        <f>IF(ISNUMBER(A147),CHOOSE(WEEKDAY(A147,2),"lunes","martes","miércoles","jueves","viernes","sábado","domingo"),"")</f>
        <v/>
      </c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8" t="str">
        <f>IF(AND(ISNUMBER(A147),COUNT(D147:F147)&gt;0),N(D147)+N(E147)+N(F147),"")</f>
        <v/>
      </c>
      <c r="M147" s="8" t="str">
        <f>IF(AND(ISNUMBER(L147),ISNUMBER($C$5),$C$5&gt;=0),ROUND(L147/(1+$C$5/100),2),"")</f>
        <v/>
      </c>
      <c r="N147" s="8" t="str">
        <f>IF(AND(ISNUMBER(A147),COUNT(C147:D147)&gt;0),N(C147)+N(D147)-N(G147)-N(H147),"")</f>
        <v/>
      </c>
      <c r="O147" s="8" t="str">
        <f>IF(AND(ISNUMBER(N147),ISNUMBER(I147)),ROUND(I147-N147,2),"")</f>
        <v/>
      </c>
      <c r="P147" s="9" t="str">
        <f>IF(ISNUMBER(O147),IF(AND(ISNUMBER($G$5),ABS(O147)&gt;$G$5),"Revisa el descuadre",IF(AND(ISNUMBER(J147),ISNUMBER(E147)),IF(ROUND(J147-E147,2)&lt;&gt;0,"El datáfono no cuadra con la tarjeta",""),"")),IF(AND(ISNUMBER(J147),ISNUMBER(E147)),IF(ROUND(J147-E147,2)&lt;&gt;0,"El datáfono no cuadra con la tarjeta",""),""))</f>
        <v/>
      </c>
      <c r="Q147" s="4" t="n"/>
    </row>
    <row r="148">
      <c r="A148" s="7" t="n"/>
      <c r="B148" t="str">
        <f>IF(ISNUMBER(A148),CHOOSE(WEEKDAY(A148,2),"lunes","martes","miércoles","jueves","viernes","sábado","domingo"),"")</f>
        <v/>
      </c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8" t="str">
        <f>IF(AND(ISNUMBER(A148),COUNT(D148:F148)&gt;0),N(D148)+N(E148)+N(F148),"")</f>
        <v/>
      </c>
      <c r="M148" s="8" t="str">
        <f>IF(AND(ISNUMBER(L148),ISNUMBER($C$5),$C$5&gt;=0),ROUND(L148/(1+$C$5/100),2),"")</f>
        <v/>
      </c>
      <c r="N148" s="8" t="str">
        <f>IF(AND(ISNUMBER(A148),COUNT(C148:D148)&gt;0),N(C148)+N(D148)-N(G148)-N(H148),"")</f>
        <v/>
      </c>
      <c r="O148" s="8" t="str">
        <f>IF(AND(ISNUMBER(N148),ISNUMBER(I148)),ROUND(I148-N148,2),"")</f>
        <v/>
      </c>
      <c r="P148" s="9" t="str">
        <f>IF(ISNUMBER(O148),IF(AND(ISNUMBER($G$5),ABS(O148)&gt;$G$5),"Revisa el descuadre",IF(AND(ISNUMBER(J148),ISNUMBER(E148)),IF(ROUND(J148-E148,2)&lt;&gt;0,"El datáfono no cuadra con la tarjeta",""),"")),IF(AND(ISNUMBER(J148),ISNUMBER(E148)),IF(ROUND(J148-E148,2)&lt;&gt;0,"El datáfono no cuadra con la tarjeta",""),""))</f>
        <v/>
      </c>
      <c r="Q148" s="4" t="n"/>
    </row>
    <row r="149">
      <c r="A149" s="7" t="n"/>
      <c r="B149" t="str">
        <f>IF(ISNUMBER(A149),CHOOSE(WEEKDAY(A149,2),"lunes","martes","miércoles","jueves","viernes","sábado","domingo"),"")</f>
        <v/>
      </c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8" t="str">
        <f>IF(AND(ISNUMBER(A149),COUNT(D149:F149)&gt;0),N(D149)+N(E149)+N(F149),"")</f>
        <v/>
      </c>
      <c r="M149" s="8" t="str">
        <f>IF(AND(ISNUMBER(L149),ISNUMBER($C$5),$C$5&gt;=0),ROUND(L149/(1+$C$5/100),2),"")</f>
        <v/>
      </c>
      <c r="N149" s="8" t="str">
        <f>IF(AND(ISNUMBER(A149),COUNT(C149:D149)&gt;0),N(C149)+N(D149)-N(G149)-N(H149),"")</f>
        <v/>
      </c>
      <c r="O149" s="8" t="str">
        <f>IF(AND(ISNUMBER(N149),ISNUMBER(I149)),ROUND(I149-N149,2),"")</f>
        <v/>
      </c>
      <c r="P149" s="9" t="str">
        <f>IF(ISNUMBER(O149),IF(AND(ISNUMBER($G$5),ABS(O149)&gt;$G$5),"Revisa el descuadre",IF(AND(ISNUMBER(J149),ISNUMBER(E149)),IF(ROUND(J149-E149,2)&lt;&gt;0,"El datáfono no cuadra con la tarjeta",""),"")),IF(AND(ISNUMBER(J149),ISNUMBER(E149)),IF(ROUND(J149-E149,2)&lt;&gt;0,"El datáfono no cuadra con la tarjeta",""),""))</f>
        <v/>
      </c>
      <c r="Q149" s="4" t="n"/>
    </row>
    <row r="150">
      <c r="A150" s="7" t="n"/>
      <c r="B150" t="str">
        <f>IF(ISNUMBER(A150),CHOOSE(WEEKDAY(A150,2),"lunes","martes","miércoles","jueves","viernes","sábado","domingo"),"")</f>
        <v/>
      </c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8" t="str">
        <f>IF(AND(ISNUMBER(A150),COUNT(D150:F150)&gt;0),N(D150)+N(E150)+N(F150),"")</f>
        <v/>
      </c>
      <c r="M150" s="8" t="str">
        <f>IF(AND(ISNUMBER(L150),ISNUMBER($C$5),$C$5&gt;=0),ROUND(L150/(1+$C$5/100),2),"")</f>
        <v/>
      </c>
      <c r="N150" s="8" t="str">
        <f>IF(AND(ISNUMBER(A150),COUNT(C150:D150)&gt;0),N(C150)+N(D150)-N(G150)-N(H150),"")</f>
        <v/>
      </c>
      <c r="O150" s="8" t="str">
        <f>IF(AND(ISNUMBER(N150),ISNUMBER(I150)),ROUND(I150-N150,2),"")</f>
        <v/>
      </c>
      <c r="P150" s="9" t="str">
        <f>IF(ISNUMBER(O150),IF(AND(ISNUMBER($G$5),ABS(O150)&gt;$G$5),"Revisa el descuadre",IF(AND(ISNUMBER(J150),ISNUMBER(E150)),IF(ROUND(J150-E150,2)&lt;&gt;0,"El datáfono no cuadra con la tarjeta",""),"")),IF(AND(ISNUMBER(J150),ISNUMBER(E150)),IF(ROUND(J150-E150,2)&lt;&gt;0,"El datáfono no cuadra con la tarjeta",""),""))</f>
        <v/>
      </c>
      <c r="Q150" s="4" t="n"/>
    </row>
    <row r="151">
      <c r="A151" s="7" t="n"/>
      <c r="B151" t="str">
        <f>IF(ISNUMBER(A151),CHOOSE(WEEKDAY(A151,2),"lunes","martes","miércoles","jueves","viernes","sábado","domingo"),"")</f>
        <v/>
      </c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8" t="str">
        <f>IF(AND(ISNUMBER(A151),COUNT(D151:F151)&gt;0),N(D151)+N(E151)+N(F151),"")</f>
        <v/>
      </c>
      <c r="M151" s="8" t="str">
        <f>IF(AND(ISNUMBER(L151),ISNUMBER($C$5),$C$5&gt;=0),ROUND(L151/(1+$C$5/100),2),"")</f>
        <v/>
      </c>
      <c r="N151" s="8" t="str">
        <f>IF(AND(ISNUMBER(A151),COUNT(C151:D151)&gt;0),N(C151)+N(D151)-N(G151)-N(H151),"")</f>
        <v/>
      </c>
      <c r="O151" s="8" t="str">
        <f>IF(AND(ISNUMBER(N151),ISNUMBER(I151)),ROUND(I151-N151,2),"")</f>
        <v/>
      </c>
      <c r="P151" s="9" t="str">
        <f>IF(ISNUMBER(O151),IF(AND(ISNUMBER($G$5),ABS(O151)&gt;$G$5),"Revisa el descuadre",IF(AND(ISNUMBER(J151),ISNUMBER(E151)),IF(ROUND(J151-E151,2)&lt;&gt;0,"El datáfono no cuadra con la tarjeta",""),"")),IF(AND(ISNUMBER(J151),ISNUMBER(E151)),IF(ROUND(J151-E151,2)&lt;&gt;0,"El datáfono no cuadra con la tarjeta",""),""))</f>
        <v/>
      </c>
      <c r="Q151" s="4" t="n"/>
    </row>
    <row r="152">
      <c r="A152" s="7" t="n"/>
      <c r="B152" t="str">
        <f>IF(ISNUMBER(A152),CHOOSE(WEEKDAY(A152,2),"lunes","martes","miércoles","jueves","viernes","sábado","domingo"),"")</f>
        <v/>
      </c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8" t="str">
        <f>IF(AND(ISNUMBER(A152),COUNT(D152:F152)&gt;0),N(D152)+N(E152)+N(F152),"")</f>
        <v/>
      </c>
      <c r="M152" s="8" t="str">
        <f>IF(AND(ISNUMBER(L152),ISNUMBER($C$5),$C$5&gt;=0),ROUND(L152/(1+$C$5/100),2),"")</f>
        <v/>
      </c>
      <c r="N152" s="8" t="str">
        <f>IF(AND(ISNUMBER(A152),COUNT(C152:D152)&gt;0),N(C152)+N(D152)-N(G152)-N(H152),"")</f>
        <v/>
      </c>
      <c r="O152" s="8" t="str">
        <f>IF(AND(ISNUMBER(N152),ISNUMBER(I152)),ROUND(I152-N152,2),"")</f>
        <v/>
      </c>
      <c r="P152" s="9" t="str">
        <f>IF(ISNUMBER(O152),IF(AND(ISNUMBER($G$5),ABS(O152)&gt;$G$5),"Revisa el descuadre",IF(AND(ISNUMBER(J152),ISNUMBER(E152)),IF(ROUND(J152-E152,2)&lt;&gt;0,"El datáfono no cuadra con la tarjeta",""),"")),IF(AND(ISNUMBER(J152),ISNUMBER(E152)),IF(ROUND(J152-E152,2)&lt;&gt;0,"El datáfono no cuadra con la tarjeta",""),""))</f>
        <v/>
      </c>
      <c r="Q152" s="4" t="n"/>
    </row>
    <row r="153">
      <c r="A153" s="7" t="n"/>
      <c r="B153" t="str">
        <f>IF(ISNUMBER(A153),CHOOSE(WEEKDAY(A153,2),"lunes","martes","miércoles","jueves","viernes","sábado","domingo"),"")</f>
        <v/>
      </c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8" t="str">
        <f>IF(AND(ISNUMBER(A153),COUNT(D153:F153)&gt;0),N(D153)+N(E153)+N(F153),"")</f>
        <v/>
      </c>
      <c r="M153" s="8" t="str">
        <f>IF(AND(ISNUMBER(L153),ISNUMBER($C$5),$C$5&gt;=0),ROUND(L153/(1+$C$5/100),2),"")</f>
        <v/>
      </c>
      <c r="N153" s="8" t="str">
        <f>IF(AND(ISNUMBER(A153),COUNT(C153:D153)&gt;0),N(C153)+N(D153)-N(G153)-N(H153),"")</f>
        <v/>
      </c>
      <c r="O153" s="8" t="str">
        <f>IF(AND(ISNUMBER(N153),ISNUMBER(I153)),ROUND(I153-N153,2),"")</f>
        <v/>
      </c>
      <c r="P153" s="9" t="str">
        <f>IF(ISNUMBER(O153),IF(AND(ISNUMBER($G$5),ABS(O153)&gt;$G$5),"Revisa el descuadre",IF(AND(ISNUMBER(J153),ISNUMBER(E153)),IF(ROUND(J153-E153,2)&lt;&gt;0,"El datáfono no cuadra con la tarjeta",""),"")),IF(AND(ISNUMBER(J153),ISNUMBER(E153)),IF(ROUND(J153-E153,2)&lt;&gt;0,"El datáfono no cuadra con la tarjeta",""),""))</f>
        <v/>
      </c>
      <c r="Q153" s="4" t="n"/>
    </row>
    <row r="154">
      <c r="A154" s="7" t="n"/>
      <c r="B154" t="str">
        <f>IF(ISNUMBER(A154),CHOOSE(WEEKDAY(A154,2),"lunes","martes","miércoles","jueves","viernes","sábado","domingo"),"")</f>
        <v/>
      </c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8" t="str">
        <f>IF(AND(ISNUMBER(A154),COUNT(D154:F154)&gt;0),N(D154)+N(E154)+N(F154),"")</f>
        <v/>
      </c>
      <c r="M154" s="8" t="str">
        <f>IF(AND(ISNUMBER(L154),ISNUMBER($C$5),$C$5&gt;=0),ROUND(L154/(1+$C$5/100),2),"")</f>
        <v/>
      </c>
      <c r="N154" s="8" t="str">
        <f>IF(AND(ISNUMBER(A154),COUNT(C154:D154)&gt;0),N(C154)+N(D154)-N(G154)-N(H154),"")</f>
        <v/>
      </c>
      <c r="O154" s="8" t="str">
        <f>IF(AND(ISNUMBER(N154),ISNUMBER(I154)),ROUND(I154-N154,2),"")</f>
        <v/>
      </c>
      <c r="P154" s="9" t="str">
        <f>IF(ISNUMBER(O154),IF(AND(ISNUMBER($G$5),ABS(O154)&gt;$G$5),"Revisa el descuadre",IF(AND(ISNUMBER(J154),ISNUMBER(E154)),IF(ROUND(J154-E154,2)&lt;&gt;0,"El datáfono no cuadra con la tarjeta",""),"")),IF(AND(ISNUMBER(J154),ISNUMBER(E154)),IF(ROUND(J154-E154,2)&lt;&gt;0,"El datáfono no cuadra con la tarjeta",""),""))</f>
        <v/>
      </c>
      <c r="Q154" s="4" t="n"/>
    </row>
    <row r="155">
      <c r="A155" s="7" t="n"/>
      <c r="B155" t="str">
        <f>IF(ISNUMBER(A155),CHOOSE(WEEKDAY(A155,2),"lunes","martes","miércoles","jueves","viernes","sábado","domingo"),"")</f>
        <v/>
      </c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8" t="str">
        <f>IF(AND(ISNUMBER(A155),COUNT(D155:F155)&gt;0),N(D155)+N(E155)+N(F155),"")</f>
        <v/>
      </c>
      <c r="M155" s="8" t="str">
        <f>IF(AND(ISNUMBER(L155),ISNUMBER($C$5),$C$5&gt;=0),ROUND(L155/(1+$C$5/100),2),"")</f>
        <v/>
      </c>
      <c r="N155" s="8" t="str">
        <f>IF(AND(ISNUMBER(A155),COUNT(C155:D155)&gt;0),N(C155)+N(D155)-N(G155)-N(H155),"")</f>
        <v/>
      </c>
      <c r="O155" s="8" t="str">
        <f>IF(AND(ISNUMBER(N155),ISNUMBER(I155)),ROUND(I155-N155,2),"")</f>
        <v/>
      </c>
      <c r="P155" s="9" t="str">
        <f>IF(ISNUMBER(O155),IF(AND(ISNUMBER($G$5),ABS(O155)&gt;$G$5),"Revisa el descuadre",IF(AND(ISNUMBER(J155),ISNUMBER(E155)),IF(ROUND(J155-E155,2)&lt;&gt;0,"El datáfono no cuadra con la tarjeta",""),"")),IF(AND(ISNUMBER(J155),ISNUMBER(E155)),IF(ROUND(J155-E155,2)&lt;&gt;0,"El datáfono no cuadra con la tarjeta",""),""))</f>
        <v/>
      </c>
      <c r="Q155" s="4" t="n"/>
    </row>
    <row r="156">
      <c r="A156" s="7" t="n"/>
      <c r="B156" t="str">
        <f>IF(ISNUMBER(A156),CHOOSE(WEEKDAY(A156,2),"lunes","martes","miércoles","jueves","viernes","sábado","domingo"),"")</f>
        <v/>
      </c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8" t="str">
        <f>IF(AND(ISNUMBER(A156),COUNT(D156:F156)&gt;0),N(D156)+N(E156)+N(F156),"")</f>
        <v/>
      </c>
      <c r="M156" s="8" t="str">
        <f>IF(AND(ISNUMBER(L156),ISNUMBER($C$5),$C$5&gt;=0),ROUND(L156/(1+$C$5/100),2),"")</f>
        <v/>
      </c>
      <c r="N156" s="8" t="str">
        <f>IF(AND(ISNUMBER(A156),COUNT(C156:D156)&gt;0),N(C156)+N(D156)-N(G156)-N(H156),"")</f>
        <v/>
      </c>
      <c r="O156" s="8" t="str">
        <f>IF(AND(ISNUMBER(N156),ISNUMBER(I156)),ROUND(I156-N156,2),"")</f>
        <v/>
      </c>
      <c r="P156" s="9" t="str">
        <f>IF(ISNUMBER(O156),IF(AND(ISNUMBER($G$5),ABS(O156)&gt;$G$5),"Revisa el descuadre",IF(AND(ISNUMBER(J156),ISNUMBER(E156)),IF(ROUND(J156-E156,2)&lt;&gt;0,"El datáfono no cuadra con la tarjeta",""),"")),IF(AND(ISNUMBER(J156),ISNUMBER(E156)),IF(ROUND(J156-E156,2)&lt;&gt;0,"El datáfono no cuadra con la tarjeta",""),""))</f>
        <v/>
      </c>
      <c r="Q156" s="4" t="n"/>
    </row>
    <row r="157">
      <c r="A157" s="7" t="n"/>
      <c r="B157" t="str">
        <f>IF(ISNUMBER(A157),CHOOSE(WEEKDAY(A157,2),"lunes","martes","miércoles","jueves","viernes","sábado","domingo"),"")</f>
        <v/>
      </c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8" t="str">
        <f>IF(AND(ISNUMBER(A157),COUNT(D157:F157)&gt;0),N(D157)+N(E157)+N(F157),"")</f>
        <v/>
      </c>
      <c r="M157" s="8" t="str">
        <f>IF(AND(ISNUMBER(L157),ISNUMBER($C$5),$C$5&gt;=0),ROUND(L157/(1+$C$5/100),2),"")</f>
        <v/>
      </c>
      <c r="N157" s="8" t="str">
        <f>IF(AND(ISNUMBER(A157),COUNT(C157:D157)&gt;0),N(C157)+N(D157)-N(G157)-N(H157),"")</f>
        <v/>
      </c>
      <c r="O157" s="8" t="str">
        <f>IF(AND(ISNUMBER(N157),ISNUMBER(I157)),ROUND(I157-N157,2),"")</f>
        <v/>
      </c>
      <c r="P157" s="9" t="str">
        <f>IF(ISNUMBER(O157),IF(AND(ISNUMBER($G$5),ABS(O157)&gt;$G$5),"Revisa el descuadre",IF(AND(ISNUMBER(J157),ISNUMBER(E157)),IF(ROUND(J157-E157,2)&lt;&gt;0,"El datáfono no cuadra con la tarjeta",""),"")),IF(AND(ISNUMBER(J157),ISNUMBER(E157)),IF(ROUND(J157-E157,2)&lt;&gt;0,"El datáfono no cuadra con la tarjeta",""),""))</f>
        <v/>
      </c>
      <c r="Q157" s="4" t="n"/>
    </row>
    <row r="158">
      <c r="A158" s="7" t="n"/>
      <c r="B158" t="str">
        <f>IF(ISNUMBER(A158),CHOOSE(WEEKDAY(A158,2),"lunes","martes","miércoles","jueves","viernes","sábado","domingo"),"")</f>
        <v/>
      </c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8" t="str">
        <f>IF(AND(ISNUMBER(A158),COUNT(D158:F158)&gt;0),N(D158)+N(E158)+N(F158),"")</f>
        <v/>
      </c>
      <c r="M158" s="8" t="str">
        <f>IF(AND(ISNUMBER(L158),ISNUMBER($C$5),$C$5&gt;=0),ROUND(L158/(1+$C$5/100),2),"")</f>
        <v/>
      </c>
      <c r="N158" s="8" t="str">
        <f>IF(AND(ISNUMBER(A158),COUNT(C158:D158)&gt;0),N(C158)+N(D158)-N(G158)-N(H158),"")</f>
        <v/>
      </c>
      <c r="O158" s="8" t="str">
        <f>IF(AND(ISNUMBER(N158),ISNUMBER(I158)),ROUND(I158-N158,2),"")</f>
        <v/>
      </c>
      <c r="P158" s="9" t="str">
        <f>IF(ISNUMBER(O158),IF(AND(ISNUMBER($G$5),ABS(O158)&gt;$G$5),"Revisa el descuadre",IF(AND(ISNUMBER(J158),ISNUMBER(E158)),IF(ROUND(J158-E158,2)&lt;&gt;0,"El datáfono no cuadra con la tarjeta",""),"")),IF(AND(ISNUMBER(J158),ISNUMBER(E158)),IF(ROUND(J158-E158,2)&lt;&gt;0,"El datáfono no cuadra con la tarjeta",""),""))</f>
        <v/>
      </c>
      <c r="Q158" s="4" t="n"/>
    </row>
    <row r="159">
      <c r="A159" s="7" t="n"/>
      <c r="B159" t="str">
        <f>IF(ISNUMBER(A159),CHOOSE(WEEKDAY(A159,2),"lunes","martes","miércoles","jueves","viernes","sábado","domingo"),"")</f>
        <v/>
      </c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8" t="str">
        <f>IF(AND(ISNUMBER(A159),COUNT(D159:F159)&gt;0),N(D159)+N(E159)+N(F159),"")</f>
        <v/>
      </c>
      <c r="M159" s="8" t="str">
        <f>IF(AND(ISNUMBER(L159),ISNUMBER($C$5),$C$5&gt;=0),ROUND(L159/(1+$C$5/100),2),"")</f>
        <v/>
      </c>
      <c r="N159" s="8" t="str">
        <f>IF(AND(ISNUMBER(A159),COUNT(C159:D159)&gt;0),N(C159)+N(D159)-N(G159)-N(H159),"")</f>
        <v/>
      </c>
      <c r="O159" s="8" t="str">
        <f>IF(AND(ISNUMBER(N159),ISNUMBER(I159)),ROUND(I159-N159,2),"")</f>
        <v/>
      </c>
      <c r="P159" s="9" t="str">
        <f>IF(ISNUMBER(O159),IF(AND(ISNUMBER($G$5),ABS(O159)&gt;$G$5),"Revisa el descuadre",IF(AND(ISNUMBER(J159),ISNUMBER(E159)),IF(ROUND(J159-E159,2)&lt;&gt;0,"El datáfono no cuadra con la tarjeta",""),"")),IF(AND(ISNUMBER(J159),ISNUMBER(E159)),IF(ROUND(J159-E159,2)&lt;&gt;0,"El datáfono no cuadra con la tarjeta",""),""))</f>
        <v/>
      </c>
      <c r="Q159" s="4" t="n"/>
    </row>
    <row r="160">
      <c r="A160" s="7" t="n"/>
      <c r="B160" t="str">
        <f>IF(ISNUMBER(A160),CHOOSE(WEEKDAY(A160,2),"lunes","martes","miércoles","jueves","viernes","sábado","domingo"),"")</f>
        <v/>
      </c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8" t="str">
        <f>IF(AND(ISNUMBER(A160),COUNT(D160:F160)&gt;0),N(D160)+N(E160)+N(F160),"")</f>
        <v/>
      </c>
      <c r="M160" s="8" t="str">
        <f>IF(AND(ISNUMBER(L160),ISNUMBER($C$5),$C$5&gt;=0),ROUND(L160/(1+$C$5/100),2),"")</f>
        <v/>
      </c>
      <c r="N160" s="8" t="str">
        <f>IF(AND(ISNUMBER(A160),COUNT(C160:D160)&gt;0),N(C160)+N(D160)-N(G160)-N(H160),"")</f>
        <v/>
      </c>
      <c r="O160" s="8" t="str">
        <f>IF(AND(ISNUMBER(N160),ISNUMBER(I160)),ROUND(I160-N160,2),"")</f>
        <v/>
      </c>
      <c r="P160" s="9" t="str">
        <f>IF(ISNUMBER(O160),IF(AND(ISNUMBER($G$5),ABS(O160)&gt;$G$5),"Revisa el descuadre",IF(AND(ISNUMBER(J160),ISNUMBER(E160)),IF(ROUND(J160-E160,2)&lt;&gt;0,"El datáfono no cuadra con la tarjeta",""),"")),IF(AND(ISNUMBER(J160),ISNUMBER(E160)),IF(ROUND(J160-E160,2)&lt;&gt;0,"El datáfono no cuadra con la tarjeta",""),""))</f>
        <v/>
      </c>
      <c r="Q160" s="4" t="n"/>
    </row>
    <row r="161">
      <c r="A161" s="7" t="n"/>
      <c r="B161" t="str">
        <f>IF(ISNUMBER(A161),CHOOSE(WEEKDAY(A161,2),"lunes","martes","miércoles","jueves","viernes","sábado","domingo"),"")</f>
        <v/>
      </c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8" t="str">
        <f>IF(AND(ISNUMBER(A161),COUNT(D161:F161)&gt;0),N(D161)+N(E161)+N(F161),"")</f>
        <v/>
      </c>
      <c r="M161" s="8" t="str">
        <f>IF(AND(ISNUMBER(L161),ISNUMBER($C$5),$C$5&gt;=0),ROUND(L161/(1+$C$5/100),2),"")</f>
        <v/>
      </c>
      <c r="N161" s="8" t="str">
        <f>IF(AND(ISNUMBER(A161),COUNT(C161:D161)&gt;0),N(C161)+N(D161)-N(G161)-N(H161),"")</f>
        <v/>
      </c>
      <c r="O161" s="8" t="str">
        <f>IF(AND(ISNUMBER(N161),ISNUMBER(I161)),ROUND(I161-N161,2),"")</f>
        <v/>
      </c>
      <c r="P161" s="9" t="str">
        <f>IF(ISNUMBER(O161),IF(AND(ISNUMBER($G$5),ABS(O161)&gt;$G$5),"Revisa el descuadre",IF(AND(ISNUMBER(J161),ISNUMBER(E161)),IF(ROUND(J161-E161,2)&lt;&gt;0,"El datáfono no cuadra con la tarjeta",""),"")),IF(AND(ISNUMBER(J161),ISNUMBER(E161)),IF(ROUND(J161-E161,2)&lt;&gt;0,"El datáfono no cuadra con la tarjeta",""),""))</f>
        <v/>
      </c>
      <c r="Q161" s="4" t="n"/>
    </row>
    <row r="162">
      <c r="A162" s="7" t="n"/>
      <c r="B162" t="str">
        <f>IF(ISNUMBER(A162),CHOOSE(WEEKDAY(A162,2),"lunes","martes","miércoles","jueves","viernes","sábado","domingo"),"")</f>
        <v/>
      </c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8" t="str">
        <f>IF(AND(ISNUMBER(A162),COUNT(D162:F162)&gt;0),N(D162)+N(E162)+N(F162),"")</f>
        <v/>
      </c>
      <c r="M162" s="8" t="str">
        <f>IF(AND(ISNUMBER(L162),ISNUMBER($C$5),$C$5&gt;=0),ROUND(L162/(1+$C$5/100),2),"")</f>
        <v/>
      </c>
      <c r="N162" s="8" t="str">
        <f>IF(AND(ISNUMBER(A162),COUNT(C162:D162)&gt;0),N(C162)+N(D162)-N(G162)-N(H162),"")</f>
        <v/>
      </c>
      <c r="O162" s="8" t="str">
        <f>IF(AND(ISNUMBER(N162),ISNUMBER(I162)),ROUND(I162-N162,2),"")</f>
        <v/>
      </c>
      <c r="P162" s="9" t="str">
        <f>IF(ISNUMBER(O162),IF(AND(ISNUMBER($G$5),ABS(O162)&gt;$G$5),"Revisa el descuadre",IF(AND(ISNUMBER(J162),ISNUMBER(E162)),IF(ROUND(J162-E162,2)&lt;&gt;0,"El datáfono no cuadra con la tarjeta",""),"")),IF(AND(ISNUMBER(J162),ISNUMBER(E162)),IF(ROUND(J162-E162,2)&lt;&gt;0,"El datáfono no cuadra con la tarjeta",""),""))</f>
        <v/>
      </c>
      <c r="Q162" s="4" t="n"/>
    </row>
    <row r="163">
      <c r="A163" s="7" t="n"/>
      <c r="B163" t="str">
        <f>IF(ISNUMBER(A163),CHOOSE(WEEKDAY(A163,2),"lunes","martes","miércoles","jueves","viernes","sábado","domingo"),"")</f>
        <v/>
      </c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8" t="str">
        <f>IF(AND(ISNUMBER(A163),COUNT(D163:F163)&gt;0),N(D163)+N(E163)+N(F163),"")</f>
        <v/>
      </c>
      <c r="M163" s="8" t="str">
        <f>IF(AND(ISNUMBER(L163),ISNUMBER($C$5),$C$5&gt;=0),ROUND(L163/(1+$C$5/100),2),"")</f>
        <v/>
      </c>
      <c r="N163" s="8" t="str">
        <f>IF(AND(ISNUMBER(A163),COUNT(C163:D163)&gt;0),N(C163)+N(D163)-N(G163)-N(H163),"")</f>
        <v/>
      </c>
      <c r="O163" s="8" t="str">
        <f>IF(AND(ISNUMBER(N163),ISNUMBER(I163)),ROUND(I163-N163,2),"")</f>
        <v/>
      </c>
      <c r="P163" s="9" t="str">
        <f>IF(ISNUMBER(O163),IF(AND(ISNUMBER($G$5),ABS(O163)&gt;$G$5),"Revisa el descuadre",IF(AND(ISNUMBER(J163),ISNUMBER(E163)),IF(ROUND(J163-E163,2)&lt;&gt;0,"El datáfono no cuadra con la tarjeta",""),"")),IF(AND(ISNUMBER(J163),ISNUMBER(E163)),IF(ROUND(J163-E163,2)&lt;&gt;0,"El datáfono no cuadra con la tarjeta",""),""))</f>
        <v/>
      </c>
      <c r="Q163" s="4" t="n"/>
    </row>
    <row r="164">
      <c r="A164" s="7" t="n"/>
      <c r="B164" t="str">
        <f>IF(ISNUMBER(A164),CHOOSE(WEEKDAY(A164,2),"lunes","martes","miércoles","jueves","viernes","sábado","domingo"),"")</f>
        <v/>
      </c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8" t="str">
        <f>IF(AND(ISNUMBER(A164),COUNT(D164:F164)&gt;0),N(D164)+N(E164)+N(F164),"")</f>
        <v/>
      </c>
      <c r="M164" s="8" t="str">
        <f>IF(AND(ISNUMBER(L164),ISNUMBER($C$5),$C$5&gt;=0),ROUND(L164/(1+$C$5/100),2),"")</f>
        <v/>
      </c>
      <c r="N164" s="8" t="str">
        <f>IF(AND(ISNUMBER(A164),COUNT(C164:D164)&gt;0),N(C164)+N(D164)-N(G164)-N(H164),"")</f>
        <v/>
      </c>
      <c r="O164" s="8" t="str">
        <f>IF(AND(ISNUMBER(N164),ISNUMBER(I164)),ROUND(I164-N164,2),"")</f>
        <v/>
      </c>
      <c r="P164" s="9" t="str">
        <f>IF(ISNUMBER(O164),IF(AND(ISNUMBER($G$5),ABS(O164)&gt;$G$5),"Revisa el descuadre",IF(AND(ISNUMBER(J164),ISNUMBER(E164)),IF(ROUND(J164-E164,2)&lt;&gt;0,"El datáfono no cuadra con la tarjeta",""),"")),IF(AND(ISNUMBER(J164),ISNUMBER(E164)),IF(ROUND(J164-E164,2)&lt;&gt;0,"El datáfono no cuadra con la tarjeta",""),""))</f>
        <v/>
      </c>
      <c r="Q164" s="4" t="n"/>
    </row>
    <row r="165">
      <c r="A165" s="7" t="n"/>
      <c r="B165" t="str">
        <f>IF(ISNUMBER(A165),CHOOSE(WEEKDAY(A165,2),"lunes","martes","miércoles","jueves","viernes","sábado","domingo"),"")</f>
        <v/>
      </c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8" t="str">
        <f>IF(AND(ISNUMBER(A165),COUNT(D165:F165)&gt;0),N(D165)+N(E165)+N(F165),"")</f>
        <v/>
      </c>
      <c r="M165" s="8" t="str">
        <f>IF(AND(ISNUMBER(L165),ISNUMBER($C$5),$C$5&gt;=0),ROUND(L165/(1+$C$5/100),2),"")</f>
        <v/>
      </c>
      <c r="N165" s="8" t="str">
        <f>IF(AND(ISNUMBER(A165),COUNT(C165:D165)&gt;0),N(C165)+N(D165)-N(G165)-N(H165),"")</f>
        <v/>
      </c>
      <c r="O165" s="8" t="str">
        <f>IF(AND(ISNUMBER(N165),ISNUMBER(I165)),ROUND(I165-N165,2),"")</f>
        <v/>
      </c>
      <c r="P165" s="9" t="str">
        <f>IF(ISNUMBER(O165),IF(AND(ISNUMBER($G$5),ABS(O165)&gt;$G$5),"Revisa el descuadre",IF(AND(ISNUMBER(J165),ISNUMBER(E165)),IF(ROUND(J165-E165,2)&lt;&gt;0,"El datáfono no cuadra con la tarjeta",""),"")),IF(AND(ISNUMBER(J165),ISNUMBER(E165)),IF(ROUND(J165-E165,2)&lt;&gt;0,"El datáfono no cuadra con la tarjeta",""),""))</f>
        <v/>
      </c>
      <c r="Q165" s="4" t="n"/>
    </row>
    <row r="166">
      <c r="A166" s="7" t="n"/>
      <c r="B166" t="str">
        <f>IF(ISNUMBER(A166),CHOOSE(WEEKDAY(A166,2),"lunes","martes","miércoles","jueves","viernes","sábado","domingo"),"")</f>
        <v/>
      </c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8" t="str">
        <f>IF(AND(ISNUMBER(A166),COUNT(D166:F166)&gt;0),N(D166)+N(E166)+N(F166),"")</f>
        <v/>
      </c>
      <c r="M166" s="8" t="str">
        <f>IF(AND(ISNUMBER(L166),ISNUMBER($C$5),$C$5&gt;=0),ROUND(L166/(1+$C$5/100),2),"")</f>
        <v/>
      </c>
      <c r="N166" s="8" t="str">
        <f>IF(AND(ISNUMBER(A166),COUNT(C166:D166)&gt;0),N(C166)+N(D166)-N(G166)-N(H166),"")</f>
        <v/>
      </c>
      <c r="O166" s="8" t="str">
        <f>IF(AND(ISNUMBER(N166),ISNUMBER(I166)),ROUND(I166-N166,2),"")</f>
        <v/>
      </c>
      <c r="P166" s="9" t="str">
        <f>IF(ISNUMBER(O166),IF(AND(ISNUMBER($G$5),ABS(O166)&gt;$G$5),"Revisa el descuadre",IF(AND(ISNUMBER(J166),ISNUMBER(E166)),IF(ROUND(J166-E166,2)&lt;&gt;0,"El datáfono no cuadra con la tarjeta",""),"")),IF(AND(ISNUMBER(J166),ISNUMBER(E166)),IF(ROUND(J166-E166,2)&lt;&gt;0,"El datáfono no cuadra con la tarjeta",""),""))</f>
        <v/>
      </c>
      <c r="Q166" s="4" t="n"/>
    </row>
    <row r="167">
      <c r="A167" s="7" t="n"/>
      <c r="B167" t="str">
        <f>IF(ISNUMBER(A167),CHOOSE(WEEKDAY(A167,2),"lunes","martes","miércoles","jueves","viernes","sábado","domingo"),"")</f>
        <v/>
      </c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8" t="str">
        <f>IF(AND(ISNUMBER(A167),COUNT(D167:F167)&gt;0),N(D167)+N(E167)+N(F167),"")</f>
        <v/>
      </c>
      <c r="M167" s="8" t="str">
        <f>IF(AND(ISNUMBER(L167),ISNUMBER($C$5),$C$5&gt;=0),ROUND(L167/(1+$C$5/100),2),"")</f>
        <v/>
      </c>
      <c r="N167" s="8" t="str">
        <f>IF(AND(ISNUMBER(A167),COUNT(C167:D167)&gt;0),N(C167)+N(D167)-N(G167)-N(H167),"")</f>
        <v/>
      </c>
      <c r="O167" s="8" t="str">
        <f>IF(AND(ISNUMBER(N167),ISNUMBER(I167)),ROUND(I167-N167,2),"")</f>
        <v/>
      </c>
      <c r="P167" s="9" t="str">
        <f>IF(ISNUMBER(O167),IF(AND(ISNUMBER($G$5),ABS(O167)&gt;$G$5),"Revisa el descuadre",IF(AND(ISNUMBER(J167),ISNUMBER(E167)),IF(ROUND(J167-E167,2)&lt;&gt;0,"El datáfono no cuadra con la tarjeta",""),"")),IF(AND(ISNUMBER(J167),ISNUMBER(E167)),IF(ROUND(J167-E167,2)&lt;&gt;0,"El datáfono no cuadra con la tarjeta",""),""))</f>
        <v/>
      </c>
      <c r="Q167" s="4" t="n"/>
    </row>
    <row r="168">
      <c r="A168" s="7" t="n"/>
      <c r="B168" t="str">
        <f>IF(ISNUMBER(A168),CHOOSE(WEEKDAY(A168,2),"lunes","martes","miércoles","jueves","viernes","sábado","domingo"),"")</f>
        <v/>
      </c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8" t="str">
        <f>IF(AND(ISNUMBER(A168),COUNT(D168:F168)&gt;0),N(D168)+N(E168)+N(F168),"")</f>
        <v/>
      </c>
      <c r="M168" s="8" t="str">
        <f>IF(AND(ISNUMBER(L168),ISNUMBER($C$5),$C$5&gt;=0),ROUND(L168/(1+$C$5/100),2),"")</f>
        <v/>
      </c>
      <c r="N168" s="8" t="str">
        <f>IF(AND(ISNUMBER(A168),COUNT(C168:D168)&gt;0),N(C168)+N(D168)-N(G168)-N(H168),"")</f>
        <v/>
      </c>
      <c r="O168" s="8" t="str">
        <f>IF(AND(ISNUMBER(N168),ISNUMBER(I168)),ROUND(I168-N168,2),"")</f>
        <v/>
      </c>
      <c r="P168" s="9" t="str">
        <f>IF(ISNUMBER(O168),IF(AND(ISNUMBER($G$5),ABS(O168)&gt;$G$5),"Revisa el descuadre",IF(AND(ISNUMBER(J168),ISNUMBER(E168)),IF(ROUND(J168-E168,2)&lt;&gt;0,"El datáfono no cuadra con la tarjeta",""),"")),IF(AND(ISNUMBER(J168),ISNUMBER(E168)),IF(ROUND(J168-E168,2)&lt;&gt;0,"El datáfono no cuadra con la tarjeta",""),""))</f>
        <v/>
      </c>
      <c r="Q168" s="4" t="n"/>
    </row>
    <row r="169">
      <c r="A169" s="7" t="n"/>
      <c r="B169" t="str">
        <f>IF(ISNUMBER(A169),CHOOSE(WEEKDAY(A169,2),"lunes","martes","miércoles","jueves","viernes","sábado","domingo"),"")</f>
        <v/>
      </c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8" t="str">
        <f>IF(AND(ISNUMBER(A169),COUNT(D169:F169)&gt;0),N(D169)+N(E169)+N(F169),"")</f>
        <v/>
      </c>
      <c r="M169" s="8" t="str">
        <f>IF(AND(ISNUMBER(L169),ISNUMBER($C$5),$C$5&gt;=0),ROUND(L169/(1+$C$5/100),2),"")</f>
        <v/>
      </c>
      <c r="N169" s="8" t="str">
        <f>IF(AND(ISNUMBER(A169),COUNT(C169:D169)&gt;0),N(C169)+N(D169)-N(G169)-N(H169),"")</f>
        <v/>
      </c>
      <c r="O169" s="8" t="str">
        <f>IF(AND(ISNUMBER(N169),ISNUMBER(I169)),ROUND(I169-N169,2),"")</f>
        <v/>
      </c>
      <c r="P169" s="9" t="str">
        <f>IF(ISNUMBER(O169),IF(AND(ISNUMBER($G$5),ABS(O169)&gt;$G$5),"Revisa el descuadre",IF(AND(ISNUMBER(J169),ISNUMBER(E169)),IF(ROUND(J169-E169,2)&lt;&gt;0,"El datáfono no cuadra con la tarjeta",""),"")),IF(AND(ISNUMBER(J169),ISNUMBER(E169)),IF(ROUND(J169-E169,2)&lt;&gt;0,"El datáfono no cuadra con la tarjeta",""),""))</f>
        <v/>
      </c>
      <c r="Q169" s="4" t="n"/>
    </row>
    <row r="170">
      <c r="A170" s="7" t="n"/>
      <c r="B170" t="str">
        <f>IF(ISNUMBER(A170),CHOOSE(WEEKDAY(A170,2),"lunes","martes","miércoles","jueves","viernes","sábado","domingo"),"")</f>
        <v/>
      </c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8" t="str">
        <f>IF(AND(ISNUMBER(A170),COUNT(D170:F170)&gt;0),N(D170)+N(E170)+N(F170),"")</f>
        <v/>
      </c>
      <c r="M170" s="8" t="str">
        <f>IF(AND(ISNUMBER(L170),ISNUMBER($C$5),$C$5&gt;=0),ROUND(L170/(1+$C$5/100),2),"")</f>
        <v/>
      </c>
      <c r="N170" s="8" t="str">
        <f>IF(AND(ISNUMBER(A170),COUNT(C170:D170)&gt;0),N(C170)+N(D170)-N(G170)-N(H170),"")</f>
        <v/>
      </c>
      <c r="O170" s="8" t="str">
        <f>IF(AND(ISNUMBER(N170),ISNUMBER(I170)),ROUND(I170-N170,2),"")</f>
        <v/>
      </c>
      <c r="P170" s="9" t="str">
        <f>IF(ISNUMBER(O170),IF(AND(ISNUMBER($G$5),ABS(O170)&gt;$G$5),"Revisa el descuadre",IF(AND(ISNUMBER(J170),ISNUMBER(E170)),IF(ROUND(J170-E170,2)&lt;&gt;0,"El datáfono no cuadra con la tarjeta",""),"")),IF(AND(ISNUMBER(J170),ISNUMBER(E170)),IF(ROUND(J170-E170,2)&lt;&gt;0,"El datáfono no cuadra con la tarjeta",""),""))</f>
        <v/>
      </c>
      <c r="Q170" s="4" t="n"/>
    </row>
    <row r="171">
      <c r="A171" s="7" t="n"/>
      <c r="B171" t="str">
        <f>IF(ISNUMBER(A171),CHOOSE(WEEKDAY(A171,2),"lunes","martes","miércoles","jueves","viernes","sábado","domingo"),"")</f>
        <v/>
      </c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8" t="str">
        <f>IF(AND(ISNUMBER(A171),COUNT(D171:F171)&gt;0),N(D171)+N(E171)+N(F171),"")</f>
        <v/>
      </c>
      <c r="M171" s="8" t="str">
        <f>IF(AND(ISNUMBER(L171),ISNUMBER($C$5),$C$5&gt;=0),ROUND(L171/(1+$C$5/100),2),"")</f>
        <v/>
      </c>
      <c r="N171" s="8" t="str">
        <f>IF(AND(ISNUMBER(A171),COUNT(C171:D171)&gt;0),N(C171)+N(D171)-N(G171)-N(H171),"")</f>
        <v/>
      </c>
      <c r="O171" s="8" t="str">
        <f>IF(AND(ISNUMBER(N171),ISNUMBER(I171)),ROUND(I171-N171,2),"")</f>
        <v/>
      </c>
      <c r="P171" s="9" t="str">
        <f>IF(ISNUMBER(O171),IF(AND(ISNUMBER($G$5),ABS(O171)&gt;$G$5),"Revisa el descuadre",IF(AND(ISNUMBER(J171),ISNUMBER(E171)),IF(ROUND(J171-E171,2)&lt;&gt;0,"El datáfono no cuadra con la tarjeta",""),"")),IF(AND(ISNUMBER(J171),ISNUMBER(E171)),IF(ROUND(J171-E171,2)&lt;&gt;0,"El datáfono no cuadra con la tarjeta",""),""))</f>
        <v/>
      </c>
      <c r="Q171" s="4" t="n"/>
    </row>
    <row r="172">
      <c r="A172" s="7" t="n"/>
      <c r="B172" t="str">
        <f>IF(ISNUMBER(A172),CHOOSE(WEEKDAY(A172,2),"lunes","martes","miércoles","jueves","viernes","sábado","domingo"),"")</f>
        <v/>
      </c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8" t="str">
        <f>IF(AND(ISNUMBER(A172),COUNT(D172:F172)&gt;0),N(D172)+N(E172)+N(F172),"")</f>
        <v/>
      </c>
      <c r="M172" s="8" t="str">
        <f>IF(AND(ISNUMBER(L172),ISNUMBER($C$5),$C$5&gt;=0),ROUND(L172/(1+$C$5/100),2),"")</f>
        <v/>
      </c>
      <c r="N172" s="8" t="str">
        <f>IF(AND(ISNUMBER(A172),COUNT(C172:D172)&gt;0),N(C172)+N(D172)-N(G172)-N(H172),"")</f>
        <v/>
      </c>
      <c r="O172" s="8" t="str">
        <f>IF(AND(ISNUMBER(N172),ISNUMBER(I172)),ROUND(I172-N172,2),"")</f>
        <v/>
      </c>
      <c r="P172" s="9" t="str">
        <f>IF(ISNUMBER(O172),IF(AND(ISNUMBER($G$5),ABS(O172)&gt;$G$5),"Revisa el descuadre",IF(AND(ISNUMBER(J172),ISNUMBER(E172)),IF(ROUND(J172-E172,2)&lt;&gt;0,"El datáfono no cuadra con la tarjeta",""),"")),IF(AND(ISNUMBER(J172),ISNUMBER(E172)),IF(ROUND(J172-E172,2)&lt;&gt;0,"El datáfono no cuadra con la tarjeta",""),""))</f>
        <v/>
      </c>
      <c r="Q172" s="4" t="n"/>
    </row>
    <row r="173">
      <c r="A173" s="7" t="n"/>
      <c r="B173" t="str">
        <f>IF(ISNUMBER(A173),CHOOSE(WEEKDAY(A173,2),"lunes","martes","miércoles","jueves","viernes","sábado","domingo"),"")</f>
        <v/>
      </c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8" t="str">
        <f>IF(AND(ISNUMBER(A173),COUNT(D173:F173)&gt;0),N(D173)+N(E173)+N(F173),"")</f>
        <v/>
      </c>
      <c r="M173" s="8" t="str">
        <f>IF(AND(ISNUMBER(L173),ISNUMBER($C$5),$C$5&gt;=0),ROUND(L173/(1+$C$5/100),2),"")</f>
        <v/>
      </c>
      <c r="N173" s="8" t="str">
        <f>IF(AND(ISNUMBER(A173),COUNT(C173:D173)&gt;0),N(C173)+N(D173)-N(G173)-N(H173),"")</f>
        <v/>
      </c>
      <c r="O173" s="8" t="str">
        <f>IF(AND(ISNUMBER(N173),ISNUMBER(I173)),ROUND(I173-N173,2),"")</f>
        <v/>
      </c>
      <c r="P173" s="9" t="str">
        <f>IF(ISNUMBER(O173),IF(AND(ISNUMBER($G$5),ABS(O173)&gt;$G$5),"Revisa el descuadre",IF(AND(ISNUMBER(J173),ISNUMBER(E173)),IF(ROUND(J173-E173,2)&lt;&gt;0,"El datáfono no cuadra con la tarjeta",""),"")),IF(AND(ISNUMBER(J173),ISNUMBER(E173)),IF(ROUND(J173-E173,2)&lt;&gt;0,"El datáfono no cuadra con la tarjeta",""),""))</f>
        <v/>
      </c>
      <c r="Q173" s="4" t="n"/>
    </row>
    <row r="174">
      <c r="A174" s="7" t="n"/>
      <c r="B174" t="str">
        <f>IF(ISNUMBER(A174),CHOOSE(WEEKDAY(A174,2),"lunes","martes","miércoles","jueves","viernes","sábado","domingo"),"")</f>
        <v/>
      </c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8" t="str">
        <f>IF(AND(ISNUMBER(A174),COUNT(D174:F174)&gt;0),N(D174)+N(E174)+N(F174),"")</f>
        <v/>
      </c>
      <c r="M174" s="8" t="str">
        <f>IF(AND(ISNUMBER(L174),ISNUMBER($C$5),$C$5&gt;=0),ROUND(L174/(1+$C$5/100),2),"")</f>
        <v/>
      </c>
      <c r="N174" s="8" t="str">
        <f>IF(AND(ISNUMBER(A174),COUNT(C174:D174)&gt;0),N(C174)+N(D174)-N(G174)-N(H174),"")</f>
        <v/>
      </c>
      <c r="O174" s="8" t="str">
        <f>IF(AND(ISNUMBER(N174),ISNUMBER(I174)),ROUND(I174-N174,2),"")</f>
        <v/>
      </c>
      <c r="P174" s="9" t="str">
        <f>IF(ISNUMBER(O174),IF(AND(ISNUMBER($G$5),ABS(O174)&gt;$G$5),"Revisa el descuadre",IF(AND(ISNUMBER(J174),ISNUMBER(E174)),IF(ROUND(J174-E174,2)&lt;&gt;0,"El datáfono no cuadra con la tarjeta",""),"")),IF(AND(ISNUMBER(J174),ISNUMBER(E174)),IF(ROUND(J174-E174,2)&lt;&gt;0,"El datáfono no cuadra con la tarjeta",""),""))</f>
        <v/>
      </c>
      <c r="Q174" s="4" t="n"/>
    </row>
    <row r="175">
      <c r="A175" s="7" t="n"/>
      <c r="B175" t="str">
        <f>IF(ISNUMBER(A175),CHOOSE(WEEKDAY(A175,2),"lunes","martes","miércoles","jueves","viernes","sábado","domingo"),"")</f>
        <v/>
      </c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8" t="str">
        <f>IF(AND(ISNUMBER(A175),COUNT(D175:F175)&gt;0),N(D175)+N(E175)+N(F175),"")</f>
        <v/>
      </c>
      <c r="M175" s="8" t="str">
        <f>IF(AND(ISNUMBER(L175),ISNUMBER($C$5),$C$5&gt;=0),ROUND(L175/(1+$C$5/100),2),"")</f>
        <v/>
      </c>
      <c r="N175" s="8" t="str">
        <f>IF(AND(ISNUMBER(A175),COUNT(C175:D175)&gt;0),N(C175)+N(D175)-N(G175)-N(H175),"")</f>
        <v/>
      </c>
      <c r="O175" s="8" t="str">
        <f>IF(AND(ISNUMBER(N175),ISNUMBER(I175)),ROUND(I175-N175,2),"")</f>
        <v/>
      </c>
      <c r="P175" s="9" t="str">
        <f>IF(ISNUMBER(O175),IF(AND(ISNUMBER($G$5),ABS(O175)&gt;$G$5),"Revisa el descuadre",IF(AND(ISNUMBER(J175),ISNUMBER(E175)),IF(ROUND(J175-E175,2)&lt;&gt;0,"El datáfono no cuadra con la tarjeta",""),"")),IF(AND(ISNUMBER(J175),ISNUMBER(E175)),IF(ROUND(J175-E175,2)&lt;&gt;0,"El datáfono no cuadra con la tarjeta",""),""))</f>
        <v/>
      </c>
      <c r="Q175" s="4" t="n"/>
    </row>
    <row r="176">
      <c r="A176" s="7" t="n"/>
      <c r="B176" t="str">
        <f>IF(ISNUMBER(A176),CHOOSE(WEEKDAY(A176,2),"lunes","martes","miércoles","jueves","viernes","sábado","domingo"),"")</f>
        <v/>
      </c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8" t="str">
        <f>IF(AND(ISNUMBER(A176),COUNT(D176:F176)&gt;0),N(D176)+N(E176)+N(F176),"")</f>
        <v/>
      </c>
      <c r="M176" s="8" t="str">
        <f>IF(AND(ISNUMBER(L176),ISNUMBER($C$5),$C$5&gt;=0),ROUND(L176/(1+$C$5/100),2),"")</f>
        <v/>
      </c>
      <c r="N176" s="8" t="str">
        <f>IF(AND(ISNUMBER(A176),COUNT(C176:D176)&gt;0),N(C176)+N(D176)-N(G176)-N(H176),"")</f>
        <v/>
      </c>
      <c r="O176" s="8" t="str">
        <f>IF(AND(ISNUMBER(N176),ISNUMBER(I176)),ROUND(I176-N176,2),"")</f>
        <v/>
      </c>
      <c r="P176" s="9" t="str">
        <f>IF(ISNUMBER(O176),IF(AND(ISNUMBER($G$5),ABS(O176)&gt;$G$5),"Revisa el descuadre",IF(AND(ISNUMBER(J176),ISNUMBER(E176)),IF(ROUND(J176-E176,2)&lt;&gt;0,"El datáfono no cuadra con la tarjeta",""),"")),IF(AND(ISNUMBER(J176),ISNUMBER(E176)),IF(ROUND(J176-E176,2)&lt;&gt;0,"El datáfono no cuadra con la tarjeta",""),""))</f>
        <v/>
      </c>
      <c r="Q176" s="4" t="n"/>
    </row>
    <row r="177">
      <c r="A177" s="7" t="n"/>
      <c r="B177" t="str">
        <f>IF(ISNUMBER(A177),CHOOSE(WEEKDAY(A177,2),"lunes","martes","miércoles","jueves","viernes","sábado","domingo"),"")</f>
        <v/>
      </c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8" t="str">
        <f>IF(AND(ISNUMBER(A177),COUNT(D177:F177)&gt;0),N(D177)+N(E177)+N(F177),"")</f>
        <v/>
      </c>
      <c r="M177" s="8" t="str">
        <f>IF(AND(ISNUMBER(L177),ISNUMBER($C$5),$C$5&gt;=0),ROUND(L177/(1+$C$5/100),2),"")</f>
        <v/>
      </c>
      <c r="N177" s="8" t="str">
        <f>IF(AND(ISNUMBER(A177),COUNT(C177:D177)&gt;0),N(C177)+N(D177)-N(G177)-N(H177),"")</f>
        <v/>
      </c>
      <c r="O177" s="8" t="str">
        <f>IF(AND(ISNUMBER(N177),ISNUMBER(I177)),ROUND(I177-N177,2),"")</f>
        <v/>
      </c>
      <c r="P177" s="9" t="str">
        <f>IF(ISNUMBER(O177),IF(AND(ISNUMBER($G$5),ABS(O177)&gt;$G$5),"Revisa el descuadre",IF(AND(ISNUMBER(J177),ISNUMBER(E177)),IF(ROUND(J177-E177,2)&lt;&gt;0,"El datáfono no cuadra con la tarjeta",""),"")),IF(AND(ISNUMBER(J177),ISNUMBER(E177)),IF(ROUND(J177-E177,2)&lt;&gt;0,"El datáfono no cuadra con la tarjeta",""),""))</f>
        <v/>
      </c>
      <c r="Q177" s="4" t="n"/>
    </row>
    <row r="178">
      <c r="A178" s="7" t="n"/>
      <c r="B178" t="str">
        <f>IF(ISNUMBER(A178),CHOOSE(WEEKDAY(A178,2),"lunes","martes","miércoles","jueves","viernes","sábado","domingo"),"")</f>
        <v/>
      </c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8" t="str">
        <f>IF(AND(ISNUMBER(A178),COUNT(D178:F178)&gt;0),N(D178)+N(E178)+N(F178),"")</f>
        <v/>
      </c>
      <c r="M178" s="8" t="str">
        <f>IF(AND(ISNUMBER(L178),ISNUMBER($C$5),$C$5&gt;=0),ROUND(L178/(1+$C$5/100),2),"")</f>
        <v/>
      </c>
      <c r="N178" s="8" t="str">
        <f>IF(AND(ISNUMBER(A178),COUNT(C178:D178)&gt;0),N(C178)+N(D178)-N(G178)-N(H178),"")</f>
        <v/>
      </c>
      <c r="O178" s="8" t="str">
        <f>IF(AND(ISNUMBER(N178),ISNUMBER(I178)),ROUND(I178-N178,2),"")</f>
        <v/>
      </c>
      <c r="P178" s="9" t="str">
        <f>IF(ISNUMBER(O178),IF(AND(ISNUMBER($G$5),ABS(O178)&gt;$G$5),"Revisa el descuadre",IF(AND(ISNUMBER(J178),ISNUMBER(E178)),IF(ROUND(J178-E178,2)&lt;&gt;0,"El datáfono no cuadra con la tarjeta",""),"")),IF(AND(ISNUMBER(J178),ISNUMBER(E178)),IF(ROUND(J178-E178,2)&lt;&gt;0,"El datáfono no cuadra con la tarjeta",""),""))</f>
        <v/>
      </c>
      <c r="Q178" s="4" t="n"/>
    </row>
    <row r="179">
      <c r="A179" s="7" t="n"/>
      <c r="B179" t="str">
        <f>IF(ISNUMBER(A179),CHOOSE(WEEKDAY(A179,2),"lunes","martes","miércoles","jueves","viernes","sábado","domingo"),"")</f>
        <v/>
      </c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8" t="str">
        <f>IF(AND(ISNUMBER(A179),COUNT(D179:F179)&gt;0),N(D179)+N(E179)+N(F179),"")</f>
        <v/>
      </c>
      <c r="M179" s="8" t="str">
        <f>IF(AND(ISNUMBER(L179),ISNUMBER($C$5),$C$5&gt;=0),ROUND(L179/(1+$C$5/100),2),"")</f>
        <v/>
      </c>
      <c r="N179" s="8" t="str">
        <f>IF(AND(ISNUMBER(A179),COUNT(C179:D179)&gt;0),N(C179)+N(D179)-N(G179)-N(H179),"")</f>
        <v/>
      </c>
      <c r="O179" s="8" t="str">
        <f>IF(AND(ISNUMBER(N179),ISNUMBER(I179)),ROUND(I179-N179,2),"")</f>
        <v/>
      </c>
      <c r="P179" s="9" t="str">
        <f>IF(ISNUMBER(O179),IF(AND(ISNUMBER($G$5),ABS(O179)&gt;$G$5),"Revisa el descuadre",IF(AND(ISNUMBER(J179),ISNUMBER(E179)),IF(ROUND(J179-E179,2)&lt;&gt;0,"El datáfono no cuadra con la tarjeta",""),"")),IF(AND(ISNUMBER(J179),ISNUMBER(E179)),IF(ROUND(J179-E179,2)&lt;&gt;0,"El datáfono no cuadra con la tarjeta",""),""))</f>
        <v/>
      </c>
      <c r="Q179" s="4" t="n"/>
    </row>
    <row r="180">
      <c r="A180" s="7" t="n"/>
      <c r="B180" t="str">
        <f>IF(ISNUMBER(A180),CHOOSE(WEEKDAY(A180,2),"lunes","martes","miércoles","jueves","viernes","sábado","domingo"),"")</f>
        <v/>
      </c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8" t="str">
        <f>IF(AND(ISNUMBER(A180),COUNT(D180:F180)&gt;0),N(D180)+N(E180)+N(F180),"")</f>
        <v/>
      </c>
      <c r="M180" s="8" t="str">
        <f>IF(AND(ISNUMBER(L180),ISNUMBER($C$5),$C$5&gt;=0),ROUND(L180/(1+$C$5/100),2),"")</f>
        <v/>
      </c>
      <c r="N180" s="8" t="str">
        <f>IF(AND(ISNUMBER(A180),COUNT(C180:D180)&gt;0),N(C180)+N(D180)-N(G180)-N(H180),"")</f>
        <v/>
      </c>
      <c r="O180" s="8" t="str">
        <f>IF(AND(ISNUMBER(N180),ISNUMBER(I180)),ROUND(I180-N180,2),"")</f>
        <v/>
      </c>
      <c r="P180" s="9" t="str">
        <f>IF(ISNUMBER(O180),IF(AND(ISNUMBER($G$5),ABS(O180)&gt;$G$5),"Revisa el descuadre",IF(AND(ISNUMBER(J180),ISNUMBER(E180)),IF(ROUND(J180-E180,2)&lt;&gt;0,"El datáfono no cuadra con la tarjeta",""),"")),IF(AND(ISNUMBER(J180),ISNUMBER(E180)),IF(ROUND(J180-E180,2)&lt;&gt;0,"El datáfono no cuadra con la tarjeta",""),""))</f>
        <v/>
      </c>
      <c r="Q180" s="4" t="n"/>
    </row>
    <row r="181">
      <c r="A181" s="7" t="n"/>
      <c r="B181" t="str">
        <f>IF(ISNUMBER(A181),CHOOSE(WEEKDAY(A181,2),"lunes","martes","miércoles","jueves","viernes","sábado","domingo"),"")</f>
        <v/>
      </c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8" t="str">
        <f>IF(AND(ISNUMBER(A181),COUNT(D181:F181)&gt;0),N(D181)+N(E181)+N(F181),"")</f>
        <v/>
      </c>
      <c r="M181" s="8" t="str">
        <f>IF(AND(ISNUMBER(L181),ISNUMBER($C$5),$C$5&gt;=0),ROUND(L181/(1+$C$5/100),2),"")</f>
        <v/>
      </c>
      <c r="N181" s="8" t="str">
        <f>IF(AND(ISNUMBER(A181),COUNT(C181:D181)&gt;0),N(C181)+N(D181)-N(G181)-N(H181),"")</f>
        <v/>
      </c>
      <c r="O181" s="8" t="str">
        <f>IF(AND(ISNUMBER(N181),ISNUMBER(I181)),ROUND(I181-N181,2),"")</f>
        <v/>
      </c>
      <c r="P181" s="9" t="str">
        <f>IF(ISNUMBER(O181),IF(AND(ISNUMBER($G$5),ABS(O181)&gt;$G$5),"Revisa el descuadre",IF(AND(ISNUMBER(J181),ISNUMBER(E181)),IF(ROUND(J181-E181,2)&lt;&gt;0,"El datáfono no cuadra con la tarjeta",""),"")),IF(AND(ISNUMBER(J181),ISNUMBER(E181)),IF(ROUND(J181-E181,2)&lt;&gt;0,"El datáfono no cuadra con la tarjeta",""),""))</f>
        <v/>
      </c>
      <c r="Q181" s="4" t="n"/>
    </row>
    <row r="182">
      <c r="A182" s="7" t="n"/>
      <c r="B182" t="str">
        <f>IF(ISNUMBER(A182),CHOOSE(WEEKDAY(A182,2),"lunes","martes","miércoles","jueves","viernes","sábado","domingo"),"")</f>
        <v/>
      </c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8" t="str">
        <f>IF(AND(ISNUMBER(A182),COUNT(D182:F182)&gt;0),N(D182)+N(E182)+N(F182),"")</f>
        <v/>
      </c>
      <c r="M182" s="8" t="str">
        <f>IF(AND(ISNUMBER(L182),ISNUMBER($C$5),$C$5&gt;=0),ROUND(L182/(1+$C$5/100),2),"")</f>
        <v/>
      </c>
      <c r="N182" s="8" t="str">
        <f>IF(AND(ISNUMBER(A182),COUNT(C182:D182)&gt;0),N(C182)+N(D182)-N(G182)-N(H182),"")</f>
        <v/>
      </c>
      <c r="O182" s="8" t="str">
        <f>IF(AND(ISNUMBER(N182),ISNUMBER(I182)),ROUND(I182-N182,2),"")</f>
        <v/>
      </c>
      <c r="P182" s="9" t="str">
        <f>IF(ISNUMBER(O182),IF(AND(ISNUMBER($G$5),ABS(O182)&gt;$G$5),"Revisa el descuadre",IF(AND(ISNUMBER(J182),ISNUMBER(E182)),IF(ROUND(J182-E182,2)&lt;&gt;0,"El datáfono no cuadra con la tarjeta",""),"")),IF(AND(ISNUMBER(J182),ISNUMBER(E182)),IF(ROUND(J182-E182,2)&lt;&gt;0,"El datáfono no cuadra con la tarjeta",""),""))</f>
        <v/>
      </c>
      <c r="Q182" s="4" t="n"/>
    </row>
    <row r="183">
      <c r="A183" s="7" t="n"/>
      <c r="B183" t="str">
        <f>IF(ISNUMBER(A183),CHOOSE(WEEKDAY(A183,2),"lunes","martes","miércoles","jueves","viernes","sábado","domingo"),"")</f>
        <v/>
      </c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8" t="str">
        <f>IF(AND(ISNUMBER(A183),COUNT(D183:F183)&gt;0),N(D183)+N(E183)+N(F183),"")</f>
        <v/>
      </c>
      <c r="M183" s="8" t="str">
        <f>IF(AND(ISNUMBER(L183),ISNUMBER($C$5),$C$5&gt;=0),ROUND(L183/(1+$C$5/100),2),"")</f>
        <v/>
      </c>
      <c r="N183" s="8" t="str">
        <f>IF(AND(ISNUMBER(A183),COUNT(C183:D183)&gt;0),N(C183)+N(D183)-N(G183)-N(H183),"")</f>
        <v/>
      </c>
      <c r="O183" s="8" t="str">
        <f>IF(AND(ISNUMBER(N183),ISNUMBER(I183)),ROUND(I183-N183,2),"")</f>
        <v/>
      </c>
      <c r="P183" s="9" t="str">
        <f>IF(ISNUMBER(O183),IF(AND(ISNUMBER($G$5),ABS(O183)&gt;$G$5),"Revisa el descuadre",IF(AND(ISNUMBER(J183),ISNUMBER(E183)),IF(ROUND(J183-E183,2)&lt;&gt;0,"El datáfono no cuadra con la tarjeta",""),"")),IF(AND(ISNUMBER(J183),ISNUMBER(E183)),IF(ROUND(J183-E183,2)&lt;&gt;0,"El datáfono no cuadra con la tarjeta",""),""))</f>
        <v/>
      </c>
      <c r="Q183" s="4" t="n"/>
    </row>
    <row r="184">
      <c r="A184" s="7" t="n"/>
      <c r="B184" t="str">
        <f>IF(ISNUMBER(A184),CHOOSE(WEEKDAY(A184,2),"lunes","martes","miércoles","jueves","viernes","sábado","domingo"),"")</f>
        <v/>
      </c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8" t="str">
        <f>IF(AND(ISNUMBER(A184),COUNT(D184:F184)&gt;0),N(D184)+N(E184)+N(F184),"")</f>
        <v/>
      </c>
      <c r="M184" s="8" t="str">
        <f>IF(AND(ISNUMBER(L184),ISNUMBER($C$5),$C$5&gt;=0),ROUND(L184/(1+$C$5/100),2),"")</f>
        <v/>
      </c>
      <c r="N184" s="8" t="str">
        <f>IF(AND(ISNUMBER(A184),COUNT(C184:D184)&gt;0),N(C184)+N(D184)-N(G184)-N(H184),"")</f>
        <v/>
      </c>
      <c r="O184" s="8" t="str">
        <f>IF(AND(ISNUMBER(N184),ISNUMBER(I184)),ROUND(I184-N184,2),"")</f>
        <v/>
      </c>
      <c r="P184" s="9" t="str">
        <f>IF(ISNUMBER(O184),IF(AND(ISNUMBER($G$5),ABS(O184)&gt;$G$5),"Revisa el descuadre",IF(AND(ISNUMBER(J184),ISNUMBER(E184)),IF(ROUND(J184-E184,2)&lt;&gt;0,"El datáfono no cuadra con la tarjeta",""),"")),IF(AND(ISNUMBER(J184),ISNUMBER(E184)),IF(ROUND(J184-E184,2)&lt;&gt;0,"El datáfono no cuadra con la tarjeta",""),""))</f>
        <v/>
      </c>
      <c r="Q184" s="4" t="n"/>
    </row>
    <row r="185">
      <c r="A185" s="7" t="n"/>
      <c r="B185" t="str">
        <f>IF(ISNUMBER(A185),CHOOSE(WEEKDAY(A185,2),"lunes","martes","miércoles","jueves","viernes","sábado","domingo"),"")</f>
        <v/>
      </c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8" t="str">
        <f>IF(AND(ISNUMBER(A185),COUNT(D185:F185)&gt;0),N(D185)+N(E185)+N(F185),"")</f>
        <v/>
      </c>
      <c r="M185" s="8" t="str">
        <f>IF(AND(ISNUMBER(L185),ISNUMBER($C$5),$C$5&gt;=0),ROUND(L185/(1+$C$5/100),2),"")</f>
        <v/>
      </c>
      <c r="N185" s="8" t="str">
        <f>IF(AND(ISNUMBER(A185),COUNT(C185:D185)&gt;0),N(C185)+N(D185)-N(G185)-N(H185),"")</f>
        <v/>
      </c>
      <c r="O185" s="8" t="str">
        <f>IF(AND(ISNUMBER(N185),ISNUMBER(I185)),ROUND(I185-N185,2),"")</f>
        <v/>
      </c>
      <c r="P185" s="9" t="str">
        <f>IF(ISNUMBER(O185),IF(AND(ISNUMBER($G$5),ABS(O185)&gt;$G$5),"Revisa el descuadre",IF(AND(ISNUMBER(J185),ISNUMBER(E185)),IF(ROUND(J185-E185,2)&lt;&gt;0,"El datáfono no cuadra con la tarjeta",""),"")),IF(AND(ISNUMBER(J185),ISNUMBER(E185)),IF(ROUND(J185-E185,2)&lt;&gt;0,"El datáfono no cuadra con la tarjeta",""),""))</f>
        <v/>
      </c>
      <c r="Q185" s="4" t="n"/>
    </row>
    <row r="186">
      <c r="A186" s="7" t="n"/>
      <c r="B186" t="str">
        <f>IF(ISNUMBER(A186),CHOOSE(WEEKDAY(A186,2),"lunes","martes","miércoles","jueves","viernes","sábado","domingo"),"")</f>
        <v/>
      </c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8" t="str">
        <f>IF(AND(ISNUMBER(A186),COUNT(D186:F186)&gt;0),N(D186)+N(E186)+N(F186),"")</f>
        <v/>
      </c>
      <c r="M186" s="8" t="str">
        <f>IF(AND(ISNUMBER(L186),ISNUMBER($C$5),$C$5&gt;=0),ROUND(L186/(1+$C$5/100),2),"")</f>
        <v/>
      </c>
      <c r="N186" s="8" t="str">
        <f>IF(AND(ISNUMBER(A186),COUNT(C186:D186)&gt;0),N(C186)+N(D186)-N(G186)-N(H186),"")</f>
        <v/>
      </c>
      <c r="O186" s="8" t="str">
        <f>IF(AND(ISNUMBER(N186),ISNUMBER(I186)),ROUND(I186-N186,2),"")</f>
        <v/>
      </c>
      <c r="P186" s="9" t="str">
        <f>IF(ISNUMBER(O186),IF(AND(ISNUMBER($G$5),ABS(O186)&gt;$G$5),"Revisa el descuadre",IF(AND(ISNUMBER(J186),ISNUMBER(E186)),IF(ROUND(J186-E186,2)&lt;&gt;0,"El datáfono no cuadra con la tarjeta",""),"")),IF(AND(ISNUMBER(J186),ISNUMBER(E186)),IF(ROUND(J186-E186,2)&lt;&gt;0,"El datáfono no cuadra con la tarjeta",""),""))</f>
        <v/>
      </c>
      <c r="Q186" s="4" t="n"/>
    </row>
    <row r="187">
      <c r="A187" s="7" t="n"/>
      <c r="B187" t="str">
        <f>IF(ISNUMBER(A187),CHOOSE(WEEKDAY(A187,2),"lunes","martes","miércoles","jueves","viernes","sábado","domingo"),"")</f>
        <v/>
      </c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8" t="str">
        <f>IF(AND(ISNUMBER(A187),COUNT(D187:F187)&gt;0),N(D187)+N(E187)+N(F187),"")</f>
        <v/>
      </c>
      <c r="M187" s="8" t="str">
        <f>IF(AND(ISNUMBER(L187),ISNUMBER($C$5),$C$5&gt;=0),ROUND(L187/(1+$C$5/100),2),"")</f>
        <v/>
      </c>
      <c r="N187" s="8" t="str">
        <f>IF(AND(ISNUMBER(A187),COUNT(C187:D187)&gt;0),N(C187)+N(D187)-N(G187)-N(H187),"")</f>
        <v/>
      </c>
      <c r="O187" s="8" t="str">
        <f>IF(AND(ISNUMBER(N187),ISNUMBER(I187)),ROUND(I187-N187,2),"")</f>
        <v/>
      </c>
      <c r="P187" s="9" t="str">
        <f>IF(ISNUMBER(O187),IF(AND(ISNUMBER($G$5),ABS(O187)&gt;$G$5),"Revisa el descuadre",IF(AND(ISNUMBER(J187),ISNUMBER(E187)),IF(ROUND(J187-E187,2)&lt;&gt;0,"El datáfono no cuadra con la tarjeta",""),"")),IF(AND(ISNUMBER(J187),ISNUMBER(E187)),IF(ROUND(J187-E187,2)&lt;&gt;0,"El datáfono no cuadra con la tarjeta",""),""))</f>
        <v/>
      </c>
      <c r="Q187" s="4" t="n"/>
    </row>
    <row r="188">
      <c r="A188" s="7" t="n"/>
      <c r="B188" t="str">
        <f>IF(ISNUMBER(A188),CHOOSE(WEEKDAY(A188,2),"lunes","martes","miércoles","jueves","viernes","sábado","domingo"),"")</f>
        <v/>
      </c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8" t="str">
        <f>IF(AND(ISNUMBER(A188),COUNT(D188:F188)&gt;0),N(D188)+N(E188)+N(F188),"")</f>
        <v/>
      </c>
      <c r="M188" s="8" t="str">
        <f>IF(AND(ISNUMBER(L188),ISNUMBER($C$5),$C$5&gt;=0),ROUND(L188/(1+$C$5/100),2),"")</f>
        <v/>
      </c>
      <c r="N188" s="8" t="str">
        <f>IF(AND(ISNUMBER(A188),COUNT(C188:D188)&gt;0),N(C188)+N(D188)-N(G188)-N(H188),"")</f>
        <v/>
      </c>
      <c r="O188" s="8" t="str">
        <f>IF(AND(ISNUMBER(N188),ISNUMBER(I188)),ROUND(I188-N188,2),"")</f>
        <v/>
      </c>
      <c r="P188" s="9" t="str">
        <f>IF(ISNUMBER(O188),IF(AND(ISNUMBER($G$5),ABS(O188)&gt;$G$5),"Revisa el descuadre",IF(AND(ISNUMBER(J188),ISNUMBER(E188)),IF(ROUND(J188-E188,2)&lt;&gt;0,"El datáfono no cuadra con la tarjeta",""),"")),IF(AND(ISNUMBER(J188),ISNUMBER(E188)),IF(ROUND(J188-E188,2)&lt;&gt;0,"El datáfono no cuadra con la tarjeta",""),""))</f>
        <v/>
      </c>
      <c r="Q188" s="4" t="n"/>
    </row>
    <row r="189">
      <c r="A189" s="7" t="n"/>
      <c r="B189" t="str">
        <f>IF(ISNUMBER(A189),CHOOSE(WEEKDAY(A189,2),"lunes","martes","miércoles","jueves","viernes","sábado","domingo"),"")</f>
        <v/>
      </c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8" t="str">
        <f>IF(AND(ISNUMBER(A189),COUNT(D189:F189)&gt;0),N(D189)+N(E189)+N(F189),"")</f>
        <v/>
      </c>
      <c r="M189" s="8" t="str">
        <f>IF(AND(ISNUMBER(L189),ISNUMBER($C$5),$C$5&gt;=0),ROUND(L189/(1+$C$5/100),2),"")</f>
        <v/>
      </c>
      <c r="N189" s="8" t="str">
        <f>IF(AND(ISNUMBER(A189),COUNT(C189:D189)&gt;0),N(C189)+N(D189)-N(G189)-N(H189),"")</f>
        <v/>
      </c>
      <c r="O189" s="8" t="str">
        <f>IF(AND(ISNUMBER(N189),ISNUMBER(I189)),ROUND(I189-N189,2),"")</f>
        <v/>
      </c>
      <c r="P189" s="9" t="str">
        <f>IF(ISNUMBER(O189),IF(AND(ISNUMBER($G$5),ABS(O189)&gt;$G$5),"Revisa el descuadre",IF(AND(ISNUMBER(J189),ISNUMBER(E189)),IF(ROUND(J189-E189,2)&lt;&gt;0,"El datáfono no cuadra con la tarjeta",""),"")),IF(AND(ISNUMBER(J189),ISNUMBER(E189)),IF(ROUND(J189-E189,2)&lt;&gt;0,"El datáfono no cuadra con la tarjeta",""),""))</f>
        <v/>
      </c>
      <c r="Q189" s="4" t="n"/>
    </row>
    <row r="190">
      <c r="A190" s="7" t="n"/>
      <c r="B190" t="str">
        <f>IF(ISNUMBER(A190),CHOOSE(WEEKDAY(A190,2),"lunes","martes","miércoles","jueves","viernes","sábado","domingo"),"")</f>
        <v/>
      </c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8" t="str">
        <f>IF(AND(ISNUMBER(A190),COUNT(D190:F190)&gt;0),N(D190)+N(E190)+N(F190),"")</f>
        <v/>
      </c>
      <c r="M190" s="8" t="str">
        <f>IF(AND(ISNUMBER(L190),ISNUMBER($C$5),$C$5&gt;=0),ROUND(L190/(1+$C$5/100),2),"")</f>
        <v/>
      </c>
      <c r="N190" s="8" t="str">
        <f>IF(AND(ISNUMBER(A190),COUNT(C190:D190)&gt;0),N(C190)+N(D190)-N(G190)-N(H190),"")</f>
        <v/>
      </c>
      <c r="O190" s="8" t="str">
        <f>IF(AND(ISNUMBER(N190),ISNUMBER(I190)),ROUND(I190-N190,2),"")</f>
        <v/>
      </c>
      <c r="P190" s="9" t="str">
        <f>IF(ISNUMBER(O190),IF(AND(ISNUMBER($G$5),ABS(O190)&gt;$G$5),"Revisa el descuadre",IF(AND(ISNUMBER(J190),ISNUMBER(E190)),IF(ROUND(J190-E190,2)&lt;&gt;0,"El datáfono no cuadra con la tarjeta",""),"")),IF(AND(ISNUMBER(J190),ISNUMBER(E190)),IF(ROUND(J190-E190,2)&lt;&gt;0,"El datáfono no cuadra con la tarjeta",""),""))</f>
        <v/>
      </c>
      <c r="Q190" s="4" t="n"/>
    </row>
    <row r="191">
      <c r="A191" s="7" t="n"/>
      <c r="B191" t="str">
        <f>IF(ISNUMBER(A191),CHOOSE(WEEKDAY(A191,2),"lunes","martes","miércoles","jueves","viernes","sábado","domingo"),"")</f>
        <v/>
      </c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8" t="str">
        <f>IF(AND(ISNUMBER(A191),COUNT(D191:F191)&gt;0),N(D191)+N(E191)+N(F191),"")</f>
        <v/>
      </c>
      <c r="M191" s="8" t="str">
        <f>IF(AND(ISNUMBER(L191),ISNUMBER($C$5),$C$5&gt;=0),ROUND(L191/(1+$C$5/100),2),"")</f>
        <v/>
      </c>
      <c r="N191" s="8" t="str">
        <f>IF(AND(ISNUMBER(A191),COUNT(C191:D191)&gt;0),N(C191)+N(D191)-N(G191)-N(H191),"")</f>
        <v/>
      </c>
      <c r="O191" s="8" t="str">
        <f>IF(AND(ISNUMBER(N191),ISNUMBER(I191)),ROUND(I191-N191,2),"")</f>
        <v/>
      </c>
      <c r="P191" s="9" t="str">
        <f>IF(ISNUMBER(O191),IF(AND(ISNUMBER($G$5),ABS(O191)&gt;$G$5),"Revisa el descuadre",IF(AND(ISNUMBER(J191),ISNUMBER(E191)),IF(ROUND(J191-E191,2)&lt;&gt;0,"El datáfono no cuadra con la tarjeta",""),"")),IF(AND(ISNUMBER(J191),ISNUMBER(E191)),IF(ROUND(J191-E191,2)&lt;&gt;0,"El datáfono no cuadra con la tarjeta",""),""))</f>
        <v/>
      </c>
      <c r="Q191" s="4" t="n"/>
    </row>
    <row r="192">
      <c r="A192" s="7" t="n"/>
      <c r="B192" t="str">
        <f>IF(ISNUMBER(A192),CHOOSE(WEEKDAY(A192,2),"lunes","martes","miércoles","jueves","viernes","sábado","domingo"),"")</f>
        <v/>
      </c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8" t="str">
        <f>IF(AND(ISNUMBER(A192),COUNT(D192:F192)&gt;0),N(D192)+N(E192)+N(F192),"")</f>
        <v/>
      </c>
      <c r="M192" s="8" t="str">
        <f>IF(AND(ISNUMBER(L192),ISNUMBER($C$5),$C$5&gt;=0),ROUND(L192/(1+$C$5/100),2),"")</f>
        <v/>
      </c>
      <c r="N192" s="8" t="str">
        <f>IF(AND(ISNUMBER(A192),COUNT(C192:D192)&gt;0),N(C192)+N(D192)-N(G192)-N(H192),"")</f>
        <v/>
      </c>
      <c r="O192" s="8" t="str">
        <f>IF(AND(ISNUMBER(N192),ISNUMBER(I192)),ROUND(I192-N192,2),"")</f>
        <v/>
      </c>
      <c r="P192" s="9" t="str">
        <f>IF(ISNUMBER(O192),IF(AND(ISNUMBER($G$5),ABS(O192)&gt;$G$5),"Revisa el descuadre",IF(AND(ISNUMBER(J192),ISNUMBER(E192)),IF(ROUND(J192-E192,2)&lt;&gt;0,"El datáfono no cuadra con la tarjeta",""),"")),IF(AND(ISNUMBER(J192),ISNUMBER(E192)),IF(ROUND(J192-E192,2)&lt;&gt;0,"El datáfono no cuadra con la tarjeta",""),""))</f>
        <v/>
      </c>
      <c r="Q192" s="4" t="n"/>
    </row>
    <row r="193">
      <c r="A193" s="7" t="n"/>
      <c r="B193" t="str">
        <f>IF(ISNUMBER(A193),CHOOSE(WEEKDAY(A193,2),"lunes","martes","miércoles","jueves","viernes","sábado","domingo"),"")</f>
        <v/>
      </c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8" t="str">
        <f>IF(AND(ISNUMBER(A193),COUNT(D193:F193)&gt;0),N(D193)+N(E193)+N(F193),"")</f>
        <v/>
      </c>
      <c r="M193" s="8" t="str">
        <f>IF(AND(ISNUMBER(L193),ISNUMBER($C$5),$C$5&gt;=0),ROUND(L193/(1+$C$5/100),2),"")</f>
        <v/>
      </c>
      <c r="N193" s="8" t="str">
        <f>IF(AND(ISNUMBER(A193),COUNT(C193:D193)&gt;0),N(C193)+N(D193)-N(G193)-N(H193),"")</f>
        <v/>
      </c>
      <c r="O193" s="8" t="str">
        <f>IF(AND(ISNUMBER(N193),ISNUMBER(I193)),ROUND(I193-N193,2),"")</f>
        <v/>
      </c>
      <c r="P193" s="9" t="str">
        <f>IF(ISNUMBER(O193),IF(AND(ISNUMBER($G$5),ABS(O193)&gt;$G$5),"Revisa el descuadre",IF(AND(ISNUMBER(J193),ISNUMBER(E193)),IF(ROUND(J193-E193,2)&lt;&gt;0,"El datáfono no cuadra con la tarjeta",""),"")),IF(AND(ISNUMBER(J193),ISNUMBER(E193)),IF(ROUND(J193-E193,2)&lt;&gt;0,"El datáfono no cuadra con la tarjeta",""),""))</f>
        <v/>
      </c>
      <c r="Q193" s="4" t="n"/>
    </row>
    <row r="194">
      <c r="A194" s="7" t="n"/>
      <c r="B194" t="str">
        <f>IF(ISNUMBER(A194),CHOOSE(WEEKDAY(A194,2),"lunes","martes","miércoles","jueves","viernes","sábado","domingo"),"")</f>
        <v/>
      </c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8" t="str">
        <f>IF(AND(ISNUMBER(A194),COUNT(D194:F194)&gt;0),N(D194)+N(E194)+N(F194),"")</f>
        <v/>
      </c>
      <c r="M194" s="8" t="str">
        <f>IF(AND(ISNUMBER(L194),ISNUMBER($C$5),$C$5&gt;=0),ROUND(L194/(1+$C$5/100),2),"")</f>
        <v/>
      </c>
      <c r="N194" s="8" t="str">
        <f>IF(AND(ISNUMBER(A194),COUNT(C194:D194)&gt;0),N(C194)+N(D194)-N(G194)-N(H194),"")</f>
        <v/>
      </c>
      <c r="O194" s="8" t="str">
        <f>IF(AND(ISNUMBER(N194),ISNUMBER(I194)),ROUND(I194-N194,2),"")</f>
        <v/>
      </c>
      <c r="P194" s="9" t="str">
        <f>IF(ISNUMBER(O194),IF(AND(ISNUMBER($G$5),ABS(O194)&gt;$G$5),"Revisa el descuadre",IF(AND(ISNUMBER(J194),ISNUMBER(E194)),IF(ROUND(J194-E194,2)&lt;&gt;0,"El datáfono no cuadra con la tarjeta",""),"")),IF(AND(ISNUMBER(J194),ISNUMBER(E194)),IF(ROUND(J194-E194,2)&lt;&gt;0,"El datáfono no cuadra con la tarjeta",""),""))</f>
        <v/>
      </c>
      <c r="Q194" s="4" t="n"/>
    </row>
    <row r="195">
      <c r="A195" s="7" t="n"/>
      <c r="B195" t="str">
        <f>IF(ISNUMBER(A195),CHOOSE(WEEKDAY(A195,2),"lunes","martes","miércoles","jueves","viernes","sábado","domingo"),"")</f>
        <v/>
      </c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8" t="str">
        <f>IF(AND(ISNUMBER(A195),COUNT(D195:F195)&gt;0),N(D195)+N(E195)+N(F195),"")</f>
        <v/>
      </c>
      <c r="M195" s="8" t="str">
        <f>IF(AND(ISNUMBER(L195),ISNUMBER($C$5),$C$5&gt;=0),ROUND(L195/(1+$C$5/100),2),"")</f>
        <v/>
      </c>
      <c r="N195" s="8" t="str">
        <f>IF(AND(ISNUMBER(A195),COUNT(C195:D195)&gt;0),N(C195)+N(D195)-N(G195)-N(H195),"")</f>
        <v/>
      </c>
      <c r="O195" s="8" t="str">
        <f>IF(AND(ISNUMBER(N195),ISNUMBER(I195)),ROUND(I195-N195,2),"")</f>
        <v/>
      </c>
      <c r="P195" s="9" t="str">
        <f>IF(ISNUMBER(O195),IF(AND(ISNUMBER($G$5),ABS(O195)&gt;$G$5),"Revisa el descuadre",IF(AND(ISNUMBER(J195),ISNUMBER(E195)),IF(ROUND(J195-E195,2)&lt;&gt;0,"El datáfono no cuadra con la tarjeta",""),"")),IF(AND(ISNUMBER(J195),ISNUMBER(E195)),IF(ROUND(J195-E195,2)&lt;&gt;0,"El datáfono no cuadra con la tarjeta",""),""))</f>
        <v/>
      </c>
      <c r="Q195" s="4" t="n"/>
    </row>
    <row r="196">
      <c r="A196" s="7" t="n"/>
      <c r="B196" t="str">
        <f>IF(ISNUMBER(A196),CHOOSE(WEEKDAY(A196,2),"lunes","martes","miércoles","jueves","viernes","sábado","domingo"),"")</f>
        <v/>
      </c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8" t="str">
        <f>IF(AND(ISNUMBER(A196),COUNT(D196:F196)&gt;0),N(D196)+N(E196)+N(F196),"")</f>
        <v/>
      </c>
      <c r="M196" s="8" t="str">
        <f>IF(AND(ISNUMBER(L196),ISNUMBER($C$5),$C$5&gt;=0),ROUND(L196/(1+$C$5/100),2),"")</f>
        <v/>
      </c>
      <c r="N196" s="8" t="str">
        <f>IF(AND(ISNUMBER(A196),COUNT(C196:D196)&gt;0),N(C196)+N(D196)-N(G196)-N(H196),"")</f>
        <v/>
      </c>
      <c r="O196" s="8" t="str">
        <f>IF(AND(ISNUMBER(N196),ISNUMBER(I196)),ROUND(I196-N196,2),"")</f>
        <v/>
      </c>
      <c r="P196" s="9" t="str">
        <f>IF(ISNUMBER(O196),IF(AND(ISNUMBER($G$5),ABS(O196)&gt;$G$5),"Revisa el descuadre",IF(AND(ISNUMBER(J196),ISNUMBER(E196)),IF(ROUND(J196-E196,2)&lt;&gt;0,"El datáfono no cuadra con la tarjeta",""),"")),IF(AND(ISNUMBER(J196),ISNUMBER(E196)),IF(ROUND(J196-E196,2)&lt;&gt;0,"El datáfono no cuadra con la tarjeta",""),""))</f>
        <v/>
      </c>
      <c r="Q196" s="4" t="n"/>
    </row>
    <row r="197">
      <c r="A197" s="7" t="n"/>
      <c r="B197" t="str">
        <f>IF(ISNUMBER(A197),CHOOSE(WEEKDAY(A197,2),"lunes","martes","miércoles","jueves","viernes","sábado","domingo"),"")</f>
        <v/>
      </c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8" t="str">
        <f>IF(AND(ISNUMBER(A197),COUNT(D197:F197)&gt;0),N(D197)+N(E197)+N(F197),"")</f>
        <v/>
      </c>
      <c r="M197" s="8" t="str">
        <f>IF(AND(ISNUMBER(L197),ISNUMBER($C$5),$C$5&gt;=0),ROUND(L197/(1+$C$5/100),2),"")</f>
        <v/>
      </c>
      <c r="N197" s="8" t="str">
        <f>IF(AND(ISNUMBER(A197),COUNT(C197:D197)&gt;0),N(C197)+N(D197)-N(G197)-N(H197),"")</f>
        <v/>
      </c>
      <c r="O197" s="8" t="str">
        <f>IF(AND(ISNUMBER(N197),ISNUMBER(I197)),ROUND(I197-N197,2),"")</f>
        <v/>
      </c>
      <c r="P197" s="9" t="str">
        <f>IF(ISNUMBER(O197),IF(AND(ISNUMBER($G$5),ABS(O197)&gt;$G$5),"Revisa el descuadre",IF(AND(ISNUMBER(J197),ISNUMBER(E197)),IF(ROUND(J197-E197,2)&lt;&gt;0,"El datáfono no cuadra con la tarjeta",""),"")),IF(AND(ISNUMBER(J197),ISNUMBER(E197)),IF(ROUND(J197-E197,2)&lt;&gt;0,"El datáfono no cuadra con la tarjeta",""),""))</f>
        <v/>
      </c>
      <c r="Q197" s="4" t="n"/>
    </row>
    <row r="198">
      <c r="A198" s="7" t="n"/>
      <c r="B198" t="str">
        <f>IF(ISNUMBER(A198),CHOOSE(WEEKDAY(A198,2),"lunes","martes","miércoles","jueves","viernes","sábado","domingo"),"")</f>
        <v/>
      </c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8" t="str">
        <f>IF(AND(ISNUMBER(A198),COUNT(D198:F198)&gt;0),N(D198)+N(E198)+N(F198),"")</f>
        <v/>
      </c>
      <c r="M198" s="8" t="str">
        <f>IF(AND(ISNUMBER(L198),ISNUMBER($C$5),$C$5&gt;=0),ROUND(L198/(1+$C$5/100),2),"")</f>
        <v/>
      </c>
      <c r="N198" s="8" t="str">
        <f>IF(AND(ISNUMBER(A198),COUNT(C198:D198)&gt;0),N(C198)+N(D198)-N(G198)-N(H198),"")</f>
        <v/>
      </c>
      <c r="O198" s="8" t="str">
        <f>IF(AND(ISNUMBER(N198),ISNUMBER(I198)),ROUND(I198-N198,2),"")</f>
        <v/>
      </c>
      <c r="P198" s="9" t="str">
        <f>IF(ISNUMBER(O198),IF(AND(ISNUMBER($G$5),ABS(O198)&gt;$G$5),"Revisa el descuadre",IF(AND(ISNUMBER(J198),ISNUMBER(E198)),IF(ROUND(J198-E198,2)&lt;&gt;0,"El datáfono no cuadra con la tarjeta",""),"")),IF(AND(ISNUMBER(J198),ISNUMBER(E198)),IF(ROUND(J198-E198,2)&lt;&gt;0,"El datáfono no cuadra con la tarjeta",""),""))</f>
        <v/>
      </c>
      <c r="Q198" s="4" t="n"/>
    </row>
    <row r="199">
      <c r="A199" s="7" t="n"/>
      <c r="B199" t="str">
        <f>IF(ISNUMBER(A199),CHOOSE(WEEKDAY(A199,2),"lunes","martes","miércoles","jueves","viernes","sábado","domingo"),"")</f>
        <v/>
      </c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8" t="str">
        <f>IF(AND(ISNUMBER(A199),COUNT(D199:F199)&gt;0),N(D199)+N(E199)+N(F199),"")</f>
        <v/>
      </c>
      <c r="M199" s="8" t="str">
        <f>IF(AND(ISNUMBER(L199),ISNUMBER($C$5),$C$5&gt;=0),ROUND(L199/(1+$C$5/100),2),"")</f>
        <v/>
      </c>
      <c r="N199" s="8" t="str">
        <f>IF(AND(ISNUMBER(A199),COUNT(C199:D199)&gt;0),N(C199)+N(D199)-N(G199)-N(H199),"")</f>
        <v/>
      </c>
      <c r="O199" s="8" t="str">
        <f>IF(AND(ISNUMBER(N199),ISNUMBER(I199)),ROUND(I199-N199,2),"")</f>
        <v/>
      </c>
      <c r="P199" s="9" t="str">
        <f>IF(ISNUMBER(O199),IF(AND(ISNUMBER($G$5),ABS(O199)&gt;$G$5),"Revisa el descuadre",IF(AND(ISNUMBER(J199),ISNUMBER(E199)),IF(ROUND(J199-E199,2)&lt;&gt;0,"El datáfono no cuadra con la tarjeta",""),"")),IF(AND(ISNUMBER(J199),ISNUMBER(E199)),IF(ROUND(J199-E199,2)&lt;&gt;0,"El datáfono no cuadra con la tarjeta",""),""))</f>
        <v/>
      </c>
      <c r="Q199" s="4" t="n"/>
    </row>
    <row r="200">
      <c r="A200" s="7" t="n"/>
      <c r="B200" t="str">
        <f>IF(ISNUMBER(A200),CHOOSE(WEEKDAY(A200,2),"lunes","martes","miércoles","jueves","viernes","sábado","domingo"),"")</f>
        <v/>
      </c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8" t="str">
        <f>IF(AND(ISNUMBER(A200),COUNT(D200:F200)&gt;0),N(D200)+N(E200)+N(F200),"")</f>
        <v/>
      </c>
      <c r="M200" s="8" t="str">
        <f>IF(AND(ISNUMBER(L200),ISNUMBER($C$5),$C$5&gt;=0),ROUND(L200/(1+$C$5/100),2),"")</f>
        <v/>
      </c>
      <c r="N200" s="8" t="str">
        <f>IF(AND(ISNUMBER(A200),COUNT(C200:D200)&gt;0),N(C200)+N(D200)-N(G200)-N(H200),"")</f>
        <v/>
      </c>
      <c r="O200" s="8" t="str">
        <f>IF(AND(ISNUMBER(N200),ISNUMBER(I200)),ROUND(I200-N200,2),"")</f>
        <v/>
      </c>
      <c r="P200" s="9" t="str">
        <f>IF(ISNUMBER(O200),IF(AND(ISNUMBER($G$5),ABS(O200)&gt;$G$5),"Revisa el descuadre",IF(AND(ISNUMBER(J200),ISNUMBER(E200)),IF(ROUND(J200-E200,2)&lt;&gt;0,"El datáfono no cuadra con la tarjeta",""),"")),IF(AND(ISNUMBER(J200),ISNUMBER(E200)),IF(ROUND(J200-E200,2)&lt;&gt;0,"El datáfono no cuadra con la tarjeta",""),""))</f>
        <v/>
      </c>
      <c r="Q200" s="4" t="n"/>
    </row>
    <row r="201">
      <c r="A201" s="7" t="n"/>
      <c r="B201" t="str">
        <f>IF(ISNUMBER(A201),CHOOSE(WEEKDAY(A201,2),"lunes","martes","miércoles","jueves","viernes","sábado","domingo"),"")</f>
        <v/>
      </c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8" t="str">
        <f>IF(AND(ISNUMBER(A201),COUNT(D201:F201)&gt;0),N(D201)+N(E201)+N(F201),"")</f>
        <v/>
      </c>
      <c r="M201" s="8" t="str">
        <f>IF(AND(ISNUMBER(L201),ISNUMBER($C$5),$C$5&gt;=0),ROUND(L201/(1+$C$5/100),2),"")</f>
        <v/>
      </c>
      <c r="N201" s="8" t="str">
        <f>IF(AND(ISNUMBER(A201),COUNT(C201:D201)&gt;0),N(C201)+N(D201)-N(G201)-N(H201),"")</f>
        <v/>
      </c>
      <c r="O201" s="8" t="str">
        <f>IF(AND(ISNUMBER(N201),ISNUMBER(I201)),ROUND(I201-N201,2),"")</f>
        <v/>
      </c>
      <c r="P201" s="9" t="str">
        <f>IF(ISNUMBER(O201),IF(AND(ISNUMBER($G$5),ABS(O201)&gt;$G$5),"Revisa el descuadre",IF(AND(ISNUMBER(J201),ISNUMBER(E201)),IF(ROUND(J201-E201,2)&lt;&gt;0,"El datáfono no cuadra con la tarjeta",""),"")),IF(AND(ISNUMBER(J201),ISNUMBER(E201)),IF(ROUND(J201-E201,2)&lt;&gt;0,"El datáfono no cuadra con la tarjeta",""),""))</f>
        <v/>
      </c>
      <c r="Q201" s="4" t="n"/>
    </row>
    <row r="202">
      <c r="A202" s="7" t="n"/>
      <c r="B202" t="str">
        <f>IF(ISNUMBER(A202),CHOOSE(WEEKDAY(A202,2),"lunes","martes","miércoles","jueves","viernes","sábado","domingo"),"")</f>
        <v/>
      </c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8" t="str">
        <f>IF(AND(ISNUMBER(A202),COUNT(D202:F202)&gt;0),N(D202)+N(E202)+N(F202),"")</f>
        <v/>
      </c>
      <c r="M202" s="8" t="str">
        <f>IF(AND(ISNUMBER(L202),ISNUMBER($C$5),$C$5&gt;=0),ROUND(L202/(1+$C$5/100),2),"")</f>
        <v/>
      </c>
      <c r="N202" s="8" t="str">
        <f>IF(AND(ISNUMBER(A202),COUNT(C202:D202)&gt;0),N(C202)+N(D202)-N(G202)-N(H202),"")</f>
        <v/>
      </c>
      <c r="O202" s="8" t="str">
        <f>IF(AND(ISNUMBER(N202),ISNUMBER(I202)),ROUND(I202-N202,2),"")</f>
        <v/>
      </c>
      <c r="P202" s="9" t="str">
        <f>IF(ISNUMBER(O202),IF(AND(ISNUMBER($G$5),ABS(O202)&gt;$G$5),"Revisa el descuadre",IF(AND(ISNUMBER(J202),ISNUMBER(E202)),IF(ROUND(J202-E202,2)&lt;&gt;0,"El datáfono no cuadra con la tarjeta",""),"")),IF(AND(ISNUMBER(J202),ISNUMBER(E202)),IF(ROUND(J202-E202,2)&lt;&gt;0,"El datáfono no cuadra con la tarjeta",""),""))</f>
        <v/>
      </c>
      <c r="Q202" s="4" t="n"/>
    </row>
    <row r="203">
      <c r="A203" s="7" t="n"/>
      <c r="B203" t="str">
        <f>IF(ISNUMBER(A203),CHOOSE(WEEKDAY(A203,2),"lunes","martes","miércoles","jueves","viernes","sábado","domingo"),"")</f>
        <v/>
      </c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8" t="str">
        <f>IF(AND(ISNUMBER(A203),COUNT(D203:F203)&gt;0),N(D203)+N(E203)+N(F203),"")</f>
        <v/>
      </c>
      <c r="M203" s="8" t="str">
        <f>IF(AND(ISNUMBER(L203),ISNUMBER($C$5),$C$5&gt;=0),ROUND(L203/(1+$C$5/100),2),"")</f>
        <v/>
      </c>
      <c r="N203" s="8" t="str">
        <f>IF(AND(ISNUMBER(A203),COUNT(C203:D203)&gt;0),N(C203)+N(D203)-N(G203)-N(H203),"")</f>
        <v/>
      </c>
      <c r="O203" s="8" t="str">
        <f>IF(AND(ISNUMBER(N203),ISNUMBER(I203)),ROUND(I203-N203,2),"")</f>
        <v/>
      </c>
      <c r="P203" s="9" t="str">
        <f>IF(ISNUMBER(O203),IF(AND(ISNUMBER($G$5),ABS(O203)&gt;$G$5),"Revisa el descuadre",IF(AND(ISNUMBER(J203),ISNUMBER(E203)),IF(ROUND(J203-E203,2)&lt;&gt;0,"El datáfono no cuadra con la tarjeta",""),"")),IF(AND(ISNUMBER(J203),ISNUMBER(E203)),IF(ROUND(J203-E203,2)&lt;&gt;0,"El datáfono no cuadra con la tarjeta",""),""))</f>
        <v/>
      </c>
      <c r="Q203" s="4" t="n"/>
    </row>
    <row r="204">
      <c r="A204" s="7" t="n"/>
      <c r="B204" t="str">
        <f>IF(ISNUMBER(A204),CHOOSE(WEEKDAY(A204,2),"lunes","martes","miércoles","jueves","viernes","sábado","domingo"),"")</f>
        <v/>
      </c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8" t="str">
        <f>IF(AND(ISNUMBER(A204),COUNT(D204:F204)&gt;0),N(D204)+N(E204)+N(F204),"")</f>
        <v/>
      </c>
      <c r="M204" s="8" t="str">
        <f>IF(AND(ISNUMBER(L204),ISNUMBER($C$5),$C$5&gt;=0),ROUND(L204/(1+$C$5/100),2),"")</f>
        <v/>
      </c>
      <c r="N204" s="8" t="str">
        <f>IF(AND(ISNUMBER(A204),COUNT(C204:D204)&gt;0),N(C204)+N(D204)-N(G204)-N(H204),"")</f>
        <v/>
      </c>
      <c r="O204" s="8" t="str">
        <f>IF(AND(ISNUMBER(N204),ISNUMBER(I204)),ROUND(I204-N204,2),"")</f>
        <v/>
      </c>
      <c r="P204" s="9" t="str">
        <f>IF(ISNUMBER(O204),IF(AND(ISNUMBER($G$5),ABS(O204)&gt;$G$5),"Revisa el descuadre",IF(AND(ISNUMBER(J204),ISNUMBER(E204)),IF(ROUND(J204-E204,2)&lt;&gt;0,"El datáfono no cuadra con la tarjeta",""),"")),IF(AND(ISNUMBER(J204),ISNUMBER(E204)),IF(ROUND(J204-E204,2)&lt;&gt;0,"El datáfono no cuadra con la tarjeta",""),""))</f>
        <v/>
      </c>
      <c r="Q204" s="4" t="n"/>
    </row>
    <row r="205">
      <c r="A205" s="7" t="n"/>
      <c r="B205" t="str">
        <f>IF(ISNUMBER(A205),CHOOSE(WEEKDAY(A205,2),"lunes","martes","miércoles","jueves","viernes","sábado","domingo"),"")</f>
        <v/>
      </c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  <c r="L205" s="8" t="str">
        <f>IF(AND(ISNUMBER(A205),COUNT(D205:F205)&gt;0),N(D205)+N(E205)+N(F205),"")</f>
        <v/>
      </c>
      <c r="M205" s="8" t="str">
        <f>IF(AND(ISNUMBER(L205),ISNUMBER($C$5),$C$5&gt;=0),ROUND(L205/(1+$C$5/100),2),"")</f>
        <v/>
      </c>
      <c r="N205" s="8" t="str">
        <f>IF(AND(ISNUMBER(A205),COUNT(C205:D205)&gt;0),N(C205)+N(D205)-N(G205)-N(H205),"")</f>
        <v/>
      </c>
      <c r="O205" s="8" t="str">
        <f>IF(AND(ISNUMBER(N205),ISNUMBER(I205)),ROUND(I205-N205,2),"")</f>
        <v/>
      </c>
      <c r="P205" s="9" t="str">
        <f>IF(ISNUMBER(O205),IF(AND(ISNUMBER($G$5),ABS(O205)&gt;$G$5),"Revisa el descuadre",IF(AND(ISNUMBER(J205),ISNUMBER(E205)),IF(ROUND(J205-E205,2)&lt;&gt;0,"El datáfono no cuadra con la tarjeta",""),"")),IF(AND(ISNUMBER(J205),ISNUMBER(E205)),IF(ROUND(J205-E205,2)&lt;&gt;0,"El datáfono no cuadra con la tarjeta",""),""))</f>
        <v/>
      </c>
      <c r="Q205" s="4" t="n"/>
    </row>
    <row r="206">
      <c r="A206" s="7" t="n"/>
      <c r="B206" t="str">
        <f>IF(ISNUMBER(A206),CHOOSE(WEEKDAY(A206,2),"lunes","martes","miércoles","jueves","viernes","sábado","domingo"),"")</f>
        <v/>
      </c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  <c r="L206" s="8" t="str">
        <f>IF(AND(ISNUMBER(A206),COUNT(D206:F206)&gt;0),N(D206)+N(E206)+N(F206),"")</f>
        <v/>
      </c>
      <c r="M206" s="8" t="str">
        <f>IF(AND(ISNUMBER(L206),ISNUMBER($C$5),$C$5&gt;=0),ROUND(L206/(1+$C$5/100),2),"")</f>
        <v/>
      </c>
      <c r="N206" s="8" t="str">
        <f>IF(AND(ISNUMBER(A206),COUNT(C206:D206)&gt;0),N(C206)+N(D206)-N(G206)-N(H206),"")</f>
        <v/>
      </c>
      <c r="O206" s="8" t="str">
        <f>IF(AND(ISNUMBER(N206),ISNUMBER(I206)),ROUND(I206-N206,2),"")</f>
        <v/>
      </c>
      <c r="P206" s="9" t="str">
        <f>IF(ISNUMBER(O206),IF(AND(ISNUMBER($G$5),ABS(O206)&gt;$G$5),"Revisa el descuadre",IF(AND(ISNUMBER(J206),ISNUMBER(E206)),IF(ROUND(J206-E206,2)&lt;&gt;0,"El datáfono no cuadra con la tarjeta",""),"")),IF(AND(ISNUMBER(J206),ISNUMBER(E206)),IF(ROUND(J206-E206,2)&lt;&gt;0,"El datáfono no cuadra con la tarjeta",""),""))</f>
        <v/>
      </c>
      <c r="Q206" s="4" t="n"/>
    </row>
    <row r="207">
      <c r="A207" s="7" t="n"/>
      <c r="B207" t="str">
        <f>IF(ISNUMBER(A207),CHOOSE(WEEKDAY(A207,2),"lunes","martes","miércoles","jueves","viernes","sábado","domingo"),"")</f>
        <v/>
      </c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  <c r="L207" s="8" t="str">
        <f>IF(AND(ISNUMBER(A207),COUNT(D207:F207)&gt;0),N(D207)+N(E207)+N(F207),"")</f>
        <v/>
      </c>
      <c r="M207" s="8" t="str">
        <f>IF(AND(ISNUMBER(L207),ISNUMBER($C$5),$C$5&gt;=0),ROUND(L207/(1+$C$5/100),2),"")</f>
        <v/>
      </c>
      <c r="N207" s="8" t="str">
        <f>IF(AND(ISNUMBER(A207),COUNT(C207:D207)&gt;0),N(C207)+N(D207)-N(G207)-N(H207),"")</f>
        <v/>
      </c>
      <c r="O207" s="8" t="str">
        <f>IF(AND(ISNUMBER(N207),ISNUMBER(I207)),ROUND(I207-N207,2),"")</f>
        <v/>
      </c>
      <c r="P207" s="9" t="str">
        <f>IF(ISNUMBER(O207),IF(AND(ISNUMBER($G$5),ABS(O207)&gt;$G$5),"Revisa el descuadre",IF(AND(ISNUMBER(J207),ISNUMBER(E207)),IF(ROUND(J207-E207,2)&lt;&gt;0,"El datáfono no cuadra con la tarjeta",""),"")),IF(AND(ISNUMBER(J207),ISNUMBER(E207)),IF(ROUND(J207-E207,2)&lt;&gt;0,"El datáfono no cuadra con la tarjeta",""),""))</f>
        <v/>
      </c>
      <c r="Q207" s="4" t="n"/>
    </row>
    <row r="208">
      <c r="A208" s="7" t="n"/>
      <c r="B208" t="str">
        <f>IF(ISNUMBER(A208),CHOOSE(WEEKDAY(A208,2),"lunes","martes","miércoles","jueves","viernes","sábado","domingo"),"")</f>
        <v/>
      </c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  <c r="L208" s="8" t="str">
        <f>IF(AND(ISNUMBER(A208),COUNT(D208:F208)&gt;0),N(D208)+N(E208)+N(F208),"")</f>
        <v/>
      </c>
      <c r="M208" s="8" t="str">
        <f>IF(AND(ISNUMBER(L208),ISNUMBER($C$5),$C$5&gt;=0),ROUND(L208/(1+$C$5/100),2),"")</f>
        <v/>
      </c>
      <c r="N208" s="8" t="str">
        <f>IF(AND(ISNUMBER(A208),COUNT(C208:D208)&gt;0),N(C208)+N(D208)-N(G208)-N(H208),"")</f>
        <v/>
      </c>
      <c r="O208" s="8" t="str">
        <f>IF(AND(ISNUMBER(N208),ISNUMBER(I208)),ROUND(I208-N208,2),"")</f>
        <v/>
      </c>
      <c r="P208" s="9" t="str">
        <f>IF(ISNUMBER(O208),IF(AND(ISNUMBER($G$5),ABS(O208)&gt;$G$5),"Revisa el descuadre",IF(AND(ISNUMBER(J208),ISNUMBER(E208)),IF(ROUND(J208-E208,2)&lt;&gt;0,"El datáfono no cuadra con la tarjeta",""),"")),IF(AND(ISNUMBER(J208),ISNUMBER(E208)),IF(ROUND(J208-E208,2)&lt;&gt;0,"El datáfono no cuadra con la tarjeta",""),""))</f>
        <v/>
      </c>
      <c r="Q208" s="4" t="n"/>
    </row>
    <row r="209">
      <c r="A209" s="7" t="n"/>
      <c r="B209" t="str">
        <f>IF(ISNUMBER(A209),CHOOSE(WEEKDAY(A209,2),"lunes","martes","miércoles","jueves","viernes","sábado","domingo"),"")</f>
        <v/>
      </c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  <c r="L209" s="8" t="str">
        <f>IF(AND(ISNUMBER(A209),COUNT(D209:F209)&gt;0),N(D209)+N(E209)+N(F209),"")</f>
        <v/>
      </c>
      <c r="M209" s="8" t="str">
        <f>IF(AND(ISNUMBER(L209),ISNUMBER($C$5),$C$5&gt;=0),ROUND(L209/(1+$C$5/100),2),"")</f>
        <v/>
      </c>
      <c r="N209" s="8" t="str">
        <f>IF(AND(ISNUMBER(A209),COUNT(C209:D209)&gt;0),N(C209)+N(D209)-N(G209)-N(H209),"")</f>
        <v/>
      </c>
      <c r="O209" s="8" t="str">
        <f>IF(AND(ISNUMBER(N209),ISNUMBER(I209)),ROUND(I209-N209,2),"")</f>
        <v/>
      </c>
      <c r="P209" s="9" t="str">
        <f>IF(ISNUMBER(O209),IF(AND(ISNUMBER($G$5),ABS(O209)&gt;$G$5),"Revisa el descuadre",IF(AND(ISNUMBER(J209),ISNUMBER(E209)),IF(ROUND(J209-E209,2)&lt;&gt;0,"El datáfono no cuadra con la tarjeta",""),"")),IF(AND(ISNUMBER(J209),ISNUMBER(E209)),IF(ROUND(J209-E209,2)&lt;&gt;0,"El datáfono no cuadra con la tarjeta",""),""))</f>
        <v/>
      </c>
      <c r="Q209" s="4" t="n"/>
    </row>
    <row r="210">
      <c r="A210" s="7" t="n"/>
      <c r="B210" t="str">
        <f>IF(ISNUMBER(A210),CHOOSE(WEEKDAY(A210,2),"lunes","martes","miércoles","jueves","viernes","sábado","domingo"),"")</f>
        <v/>
      </c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  <c r="L210" s="8" t="str">
        <f>IF(AND(ISNUMBER(A210),COUNT(D210:F210)&gt;0),N(D210)+N(E210)+N(F210),"")</f>
        <v/>
      </c>
      <c r="M210" s="8" t="str">
        <f>IF(AND(ISNUMBER(L210),ISNUMBER($C$5),$C$5&gt;=0),ROUND(L210/(1+$C$5/100),2),"")</f>
        <v/>
      </c>
      <c r="N210" s="8" t="str">
        <f>IF(AND(ISNUMBER(A210),COUNT(C210:D210)&gt;0),N(C210)+N(D210)-N(G210)-N(H210),"")</f>
        <v/>
      </c>
      <c r="O210" s="8" t="str">
        <f>IF(AND(ISNUMBER(N210),ISNUMBER(I210)),ROUND(I210-N210,2),"")</f>
        <v/>
      </c>
      <c r="P210" s="9" t="str">
        <f>IF(ISNUMBER(O210),IF(AND(ISNUMBER($G$5),ABS(O210)&gt;$G$5),"Revisa el descuadre",IF(AND(ISNUMBER(J210),ISNUMBER(E210)),IF(ROUND(J210-E210,2)&lt;&gt;0,"El datáfono no cuadra con la tarjeta",""),"")),IF(AND(ISNUMBER(J210),ISNUMBER(E210)),IF(ROUND(J210-E210,2)&lt;&gt;0,"El datáfono no cuadra con la tarjeta",""),""))</f>
        <v/>
      </c>
      <c r="Q210" s="4" t="n"/>
    </row>
    <row r="211">
      <c r="A211" s="7" t="n"/>
      <c r="B211" t="str">
        <f>IF(ISNUMBER(A211),CHOOSE(WEEKDAY(A211,2),"lunes","martes","miércoles","jueves","viernes","sábado","domingo"),"")</f>
        <v/>
      </c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  <c r="L211" s="8" t="str">
        <f>IF(AND(ISNUMBER(A211),COUNT(D211:F211)&gt;0),N(D211)+N(E211)+N(F211),"")</f>
        <v/>
      </c>
      <c r="M211" s="8" t="str">
        <f>IF(AND(ISNUMBER(L211),ISNUMBER($C$5),$C$5&gt;=0),ROUND(L211/(1+$C$5/100),2),"")</f>
        <v/>
      </c>
      <c r="N211" s="8" t="str">
        <f>IF(AND(ISNUMBER(A211),COUNT(C211:D211)&gt;0),N(C211)+N(D211)-N(G211)-N(H211),"")</f>
        <v/>
      </c>
      <c r="O211" s="8" t="str">
        <f>IF(AND(ISNUMBER(N211),ISNUMBER(I211)),ROUND(I211-N211,2),"")</f>
        <v/>
      </c>
      <c r="P211" s="9" t="str">
        <f>IF(ISNUMBER(O211),IF(AND(ISNUMBER($G$5),ABS(O211)&gt;$G$5),"Revisa el descuadre",IF(AND(ISNUMBER(J211),ISNUMBER(E211)),IF(ROUND(J211-E211,2)&lt;&gt;0,"El datáfono no cuadra con la tarjeta",""),"")),IF(AND(ISNUMBER(J211),ISNUMBER(E211)),IF(ROUND(J211-E211,2)&lt;&gt;0,"El datáfono no cuadra con la tarjeta",""),""))</f>
        <v/>
      </c>
      <c r="Q211" s="4" t="n"/>
    </row>
    <row r="212">
      <c r="A212" s="7" t="n"/>
      <c r="B212" t="str">
        <f>IF(ISNUMBER(A212),CHOOSE(WEEKDAY(A212,2),"lunes","martes","miércoles","jueves","viernes","sábado","domingo"),"")</f>
        <v/>
      </c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  <c r="L212" s="8" t="str">
        <f>IF(AND(ISNUMBER(A212),COUNT(D212:F212)&gt;0),N(D212)+N(E212)+N(F212),"")</f>
        <v/>
      </c>
      <c r="M212" s="8" t="str">
        <f>IF(AND(ISNUMBER(L212),ISNUMBER($C$5),$C$5&gt;=0),ROUND(L212/(1+$C$5/100),2),"")</f>
        <v/>
      </c>
      <c r="N212" s="8" t="str">
        <f>IF(AND(ISNUMBER(A212),COUNT(C212:D212)&gt;0),N(C212)+N(D212)-N(G212)-N(H212),"")</f>
        <v/>
      </c>
      <c r="O212" s="8" t="str">
        <f>IF(AND(ISNUMBER(N212),ISNUMBER(I212)),ROUND(I212-N212,2),"")</f>
        <v/>
      </c>
      <c r="P212" s="9" t="str">
        <f>IF(ISNUMBER(O212),IF(AND(ISNUMBER($G$5),ABS(O212)&gt;$G$5),"Revisa el descuadre",IF(AND(ISNUMBER(J212),ISNUMBER(E212)),IF(ROUND(J212-E212,2)&lt;&gt;0,"El datáfono no cuadra con la tarjeta",""),"")),IF(AND(ISNUMBER(J212),ISNUMBER(E212)),IF(ROUND(J212-E212,2)&lt;&gt;0,"El datáfono no cuadra con la tarjeta",""),""))</f>
        <v/>
      </c>
      <c r="Q212" s="4" t="n"/>
    </row>
    <row r="213">
      <c r="A213" s="7" t="n"/>
      <c r="B213" t="str">
        <f>IF(ISNUMBER(A213),CHOOSE(WEEKDAY(A213,2),"lunes","martes","miércoles","jueves","viernes","sábado","domingo"),"")</f>
        <v/>
      </c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  <c r="L213" s="8" t="str">
        <f>IF(AND(ISNUMBER(A213),COUNT(D213:F213)&gt;0),N(D213)+N(E213)+N(F213),"")</f>
        <v/>
      </c>
      <c r="M213" s="8" t="str">
        <f>IF(AND(ISNUMBER(L213),ISNUMBER($C$5),$C$5&gt;=0),ROUND(L213/(1+$C$5/100),2),"")</f>
        <v/>
      </c>
      <c r="N213" s="8" t="str">
        <f>IF(AND(ISNUMBER(A213),COUNT(C213:D213)&gt;0),N(C213)+N(D213)-N(G213)-N(H213),"")</f>
        <v/>
      </c>
      <c r="O213" s="8" t="str">
        <f>IF(AND(ISNUMBER(N213),ISNUMBER(I213)),ROUND(I213-N213,2),"")</f>
        <v/>
      </c>
      <c r="P213" s="9" t="str">
        <f>IF(ISNUMBER(O213),IF(AND(ISNUMBER($G$5),ABS(O213)&gt;$G$5),"Revisa el descuadre",IF(AND(ISNUMBER(J213),ISNUMBER(E213)),IF(ROUND(J213-E213,2)&lt;&gt;0,"El datáfono no cuadra con la tarjeta",""),"")),IF(AND(ISNUMBER(J213),ISNUMBER(E213)),IF(ROUND(J213-E213,2)&lt;&gt;0,"El datáfono no cuadra con la tarjeta",""),""))</f>
        <v/>
      </c>
      <c r="Q213" s="4" t="n"/>
    </row>
    <row r="214">
      <c r="A214" s="7" t="n"/>
      <c r="B214" t="str">
        <f>IF(ISNUMBER(A214),CHOOSE(WEEKDAY(A214,2),"lunes","martes","miércoles","jueves","viernes","sábado","domingo"),"")</f>
        <v/>
      </c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  <c r="L214" s="8" t="str">
        <f>IF(AND(ISNUMBER(A214),COUNT(D214:F214)&gt;0),N(D214)+N(E214)+N(F214),"")</f>
        <v/>
      </c>
      <c r="M214" s="8" t="str">
        <f>IF(AND(ISNUMBER(L214),ISNUMBER($C$5),$C$5&gt;=0),ROUND(L214/(1+$C$5/100),2),"")</f>
        <v/>
      </c>
      <c r="N214" s="8" t="str">
        <f>IF(AND(ISNUMBER(A214),COUNT(C214:D214)&gt;0),N(C214)+N(D214)-N(G214)-N(H214),"")</f>
        <v/>
      </c>
      <c r="O214" s="8" t="str">
        <f>IF(AND(ISNUMBER(N214),ISNUMBER(I214)),ROUND(I214-N214,2),"")</f>
        <v/>
      </c>
      <c r="P214" s="9" t="str">
        <f>IF(ISNUMBER(O214),IF(AND(ISNUMBER($G$5),ABS(O214)&gt;$G$5),"Revisa el descuadre",IF(AND(ISNUMBER(J214),ISNUMBER(E214)),IF(ROUND(J214-E214,2)&lt;&gt;0,"El datáfono no cuadra con la tarjeta",""),"")),IF(AND(ISNUMBER(J214),ISNUMBER(E214)),IF(ROUND(J214-E214,2)&lt;&gt;0,"El datáfono no cuadra con la tarjeta",""),""))</f>
        <v/>
      </c>
      <c r="Q214" s="4" t="n"/>
    </row>
    <row r="215">
      <c r="A215" s="7" t="n"/>
      <c r="B215" t="str">
        <f>IF(ISNUMBER(A215),CHOOSE(WEEKDAY(A215,2),"lunes","martes","miércoles","jueves","viernes","sábado","domingo"),"")</f>
        <v/>
      </c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  <c r="L215" s="8" t="str">
        <f>IF(AND(ISNUMBER(A215),COUNT(D215:F215)&gt;0),N(D215)+N(E215)+N(F215),"")</f>
        <v/>
      </c>
      <c r="M215" s="8" t="str">
        <f>IF(AND(ISNUMBER(L215),ISNUMBER($C$5),$C$5&gt;=0),ROUND(L215/(1+$C$5/100),2),"")</f>
        <v/>
      </c>
      <c r="N215" s="8" t="str">
        <f>IF(AND(ISNUMBER(A215),COUNT(C215:D215)&gt;0),N(C215)+N(D215)-N(G215)-N(H215),"")</f>
        <v/>
      </c>
      <c r="O215" s="8" t="str">
        <f>IF(AND(ISNUMBER(N215),ISNUMBER(I215)),ROUND(I215-N215,2),"")</f>
        <v/>
      </c>
      <c r="P215" s="9" t="str">
        <f>IF(ISNUMBER(O215),IF(AND(ISNUMBER($G$5),ABS(O215)&gt;$G$5),"Revisa el descuadre",IF(AND(ISNUMBER(J215),ISNUMBER(E215)),IF(ROUND(J215-E215,2)&lt;&gt;0,"El datáfono no cuadra con la tarjeta",""),"")),IF(AND(ISNUMBER(J215),ISNUMBER(E215)),IF(ROUND(J215-E215,2)&lt;&gt;0,"El datáfono no cuadra con la tarjeta",""),""))</f>
        <v/>
      </c>
      <c r="Q215" s="4" t="n"/>
    </row>
    <row r="216">
      <c r="A216" s="7" t="n"/>
      <c r="B216" t="str">
        <f>IF(ISNUMBER(A216),CHOOSE(WEEKDAY(A216,2),"lunes","martes","miércoles","jueves","viernes","sábado","domingo"),"")</f>
        <v/>
      </c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  <c r="L216" s="8" t="str">
        <f>IF(AND(ISNUMBER(A216),COUNT(D216:F216)&gt;0),N(D216)+N(E216)+N(F216),"")</f>
        <v/>
      </c>
      <c r="M216" s="8" t="str">
        <f>IF(AND(ISNUMBER(L216),ISNUMBER($C$5),$C$5&gt;=0),ROUND(L216/(1+$C$5/100),2),"")</f>
        <v/>
      </c>
      <c r="N216" s="8" t="str">
        <f>IF(AND(ISNUMBER(A216),COUNT(C216:D216)&gt;0),N(C216)+N(D216)-N(G216)-N(H216),"")</f>
        <v/>
      </c>
      <c r="O216" s="8" t="str">
        <f>IF(AND(ISNUMBER(N216),ISNUMBER(I216)),ROUND(I216-N216,2),"")</f>
        <v/>
      </c>
      <c r="P216" s="9" t="str">
        <f>IF(ISNUMBER(O216),IF(AND(ISNUMBER($G$5),ABS(O216)&gt;$G$5),"Revisa el descuadre",IF(AND(ISNUMBER(J216),ISNUMBER(E216)),IF(ROUND(J216-E216,2)&lt;&gt;0,"El datáfono no cuadra con la tarjeta",""),"")),IF(AND(ISNUMBER(J216),ISNUMBER(E216)),IF(ROUND(J216-E216,2)&lt;&gt;0,"El datáfono no cuadra con la tarjeta",""),""))</f>
        <v/>
      </c>
      <c r="Q216" s="4" t="n"/>
    </row>
    <row r="217">
      <c r="A217" s="7" t="n"/>
      <c r="B217" t="str">
        <f>IF(ISNUMBER(A217),CHOOSE(WEEKDAY(A217,2),"lunes","martes","miércoles","jueves","viernes","sábado","domingo"),"")</f>
        <v/>
      </c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  <c r="L217" s="8" t="str">
        <f>IF(AND(ISNUMBER(A217),COUNT(D217:F217)&gt;0),N(D217)+N(E217)+N(F217),"")</f>
        <v/>
      </c>
      <c r="M217" s="8" t="str">
        <f>IF(AND(ISNUMBER(L217),ISNUMBER($C$5),$C$5&gt;=0),ROUND(L217/(1+$C$5/100),2),"")</f>
        <v/>
      </c>
      <c r="N217" s="8" t="str">
        <f>IF(AND(ISNUMBER(A217),COUNT(C217:D217)&gt;0),N(C217)+N(D217)-N(G217)-N(H217),"")</f>
        <v/>
      </c>
      <c r="O217" s="8" t="str">
        <f>IF(AND(ISNUMBER(N217),ISNUMBER(I217)),ROUND(I217-N217,2),"")</f>
        <v/>
      </c>
      <c r="P217" s="9" t="str">
        <f>IF(ISNUMBER(O217),IF(AND(ISNUMBER($G$5),ABS(O217)&gt;$G$5),"Revisa el descuadre",IF(AND(ISNUMBER(J217),ISNUMBER(E217)),IF(ROUND(J217-E217,2)&lt;&gt;0,"El datáfono no cuadra con la tarjeta",""),"")),IF(AND(ISNUMBER(J217),ISNUMBER(E217)),IF(ROUND(J217-E217,2)&lt;&gt;0,"El datáfono no cuadra con la tarjeta",""),""))</f>
        <v/>
      </c>
      <c r="Q217" s="4" t="n"/>
    </row>
    <row r="218">
      <c r="A218" s="7" t="n"/>
      <c r="B218" t="str">
        <f>IF(ISNUMBER(A218),CHOOSE(WEEKDAY(A218,2),"lunes","martes","miércoles","jueves","viernes","sábado","domingo"),"")</f>
        <v/>
      </c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  <c r="L218" s="8" t="str">
        <f>IF(AND(ISNUMBER(A218),COUNT(D218:F218)&gt;0),N(D218)+N(E218)+N(F218),"")</f>
        <v/>
      </c>
      <c r="M218" s="8" t="str">
        <f>IF(AND(ISNUMBER(L218),ISNUMBER($C$5),$C$5&gt;=0),ROUND(L218/(1+$C$5/100),2),"")</f>
        <v/>
      </c>
      <c r="N218" s="8" t="str">
        <f>IF(AND(ISNUMBER(A218),COUNT(C218:D218)&gt;0),N(C218)+N(D218)-N(G218)-N(H218),"")</f>
        <v/>
      </c>
      <c r="O218" s="8" t="str">
        <f>IF(AND(ISNUMBER(N218),ISNUMBER(I218)),ROUND(I218-N218,2),"")</f>
        <v/>
      </c>
      <c r="P218" s="9" t="str">
        <f>IF(ISNUMBER(O218),IF(AND(ISNUMBER($G$5),ABS(O218)&gt;$G$5),"Revisa el descuadre",IF(AND(ISNUMBER(J218),ISNUMBER(E218)),IF(ROUND(J218-E218,2)&lt;&gt;0,"El datáfono no cuadra con la tarjeta",""),"")),IF(AND(ISNUMBER(J218),ISNUMBER(E218)),IF(ROUND(J218-E218,2)&lt;&gt;0,"El datáfono no cuadra con la tarjeta",""),""))</f>
        <v/>
      </c>
      <c r="Q218" s="4" t="n"/>
    </row>
    <row r="219">
      <c r="A219" s="7" t="n"/>
      <c r="B219" t="str">
        <f>IF(ISNUMBER(A219),CHOOSE(WEEKDAY(A219,2),"lunes","martes","miércoles","jueves","viernes","sábado","domingo"),"")</f>
        <v/>
      </c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  <c r="L219" s="8" t="str">
        <f>IF(AND(ISNUMBER(A219),COUNT(D219:F219)&gt;0),N(D219)+N(E219)+N(F219),"")</f>
        <v/>
      </c>
      <c r="M219" s="8" t="str">
        <f>IF(AND(ISNUMBER(L219),ISNUMBER($C$5),$C$5&gt;=0),ROUND(L219/(1+$C$5/100),2),"")</f>
        <v/>
      </c>
      <c r="N219" s="8" t="str">
        <f>IF(AND(ISNUMBER(A219),COUNT(C219:D219)&gt;0),N(C219)+N(D219)-N(G219)-N(H219),"")</f>
        <v/>
      </c>
      <c r="O219" s="8" t="str">
        <f>IF(AND(ISNUMBER(N219),ISNUMBER(I219)),ROUND(I219-N219,2),"")</f>
        <v/>
      </c>
      <c r="P219" s="9" t="str">
        <f>IF(ISNUMBER(O219),IF(AND(ISNUMBER($G$5),ABS(O219)&gt;$G$5),"Revisa el descuadre",IF(AND(ISNUMBER(J219),ISNUMBER(E219)),IF(ROUND(J219-E219,2)&lt;&gt;0,"El datáfono no cuadra con la tarjeta",""),"")),IF(AND(ISNUMBER(J219),ISNUMBER(E219)),IF(ROUND(J219-E219,2)&lt;&gt;0,"El datáfono no cuadra con la tarjeta",""),""))</f>
        <v/>
      </c>
      <c r="Q219" s="4" t="n"/>
    </row>
    <row r="220">
      <c r="A220" s="7" t="n"/>
      <c r="B220" t="str">
        <f>IF(ISNUMBER(A220),CHOOSE(WEEKDAY(A220,2),"lunes","martes","miércoles","jueves","viernes","sábado","domingo"),"")</f>
        <v/>
      </c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  <c r="L220" s="8" t="str">
        <f>IF(AND(ISNUMBER(A220),COUNT(D220:F220)&gt;0),N(D220)+N(E220)+N(F220),"")</f>
        <v/>
      </c>
      <c r="M220" s="8" t="str">
        <f>IF(AND(ISNUMBER(L220),ISNUMBER($C$5),$C$5&gt;=0),ROUND(L220/(1+$C$5/100),2),"")</f>
        <v/>
      </c>
      <c r="N220" s="8" t="str">
        <f>IF(AND(ISNUMBER(A220),COUNT(C220:D220)&gt;0),N(C220)+N(D220)-N(G220)-N(H220),"")</f>
        <v/>
      </c>
      <c r="O220" s="8" t="str">
        <f>IF(AND(ISNUMBER(N220),ISNUMBER(I220)),ROUND(I220-N220,2),"")</f>
        <v/>
      </c>
      <c r="P220" s="9" t="str">
        <f>IF(ISNUMBER(O220),IF(AND(ISNUMBER($G$5),ABS(O220)&gt;$G$5),"Revisa el descuadre",IF(AND(ISNUMBER(J220),ISNUMBER(E220)),IF(ROUND(J220-E220,2)&lt;&gt;0,"El datáfono no cuadra con la tarjeta",""),"")),IF(AND(ISNUMBER(J220),ISNUMBER(E220)),IF(ROUND(J220-E220,2)&lt;&gt;0,"El datáfono no cuadra con la tarjeta",""),""))</f>
        <v/>
      </c>
      <c r="Q220" s="4" t="n"/>
    </row>
    <row r="221">
      <c r="A221" s="7" t="n"/>
      <c r="B221" t="str">
        <f>IF(ISNUMBER(A221),CHOOSE(WEEKDAY(A221,2),"lunes","martes","miércoles","jueves","viernes","sábado","domingo"),"")</f>
        <v/>
      </c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  <c r="L221" s="8" t="str">
        <f>IF(AND(ISNUMBER(A221),COUNT(D221:F221)&gt;0),N(D221)+N(E221)+N(F221),"")</f>
        <v/>
      </c>
      <c r="M221" s="8" t="str">
        <f>IF(AND(ISNUMBER(L221),ISNUMBER($C$5),$C$5&gt;=0),ROUND(L221/(1+$C$5/100),2),"")</f>
        <v/>
      </c>
      <c r="N221" s="8" t="str">
        <f>IF(AND(ISNUMBER(A221),COUNT(C221:D221)&gt;0),N(C221)+N(D221)-N(G221)-N(H221),"")</f>
        <v/>
      </c>
      <c r="O221" s="8" t="str">
        <f>IF(AND(ISNUMBER(N221),ISNUMBER(I221)),ROUND(I221-N221,2),"")</f>
        <v/>
      </c>
      <c r="P221" s="9" t="str">
        <f>IF(ISNUMBER(O221),IF(AND(ISNUMBER($G$5),ABS(O221)&gt;$G$5),"Revisa el descuadre",IF(AND(ISNUMBER(J221),ISNUMBER(E221)),IF(ROUND(J221-E221,2)&lt;&gt;0,"El datáfono no cuadra con la tarjeta",""),"")),IF(AND(ISNUMBER(J221),ISNUMBER(E221)),IF(ROUND(J221-E221,2)&lt;&gt;0,"El datáfono no cuadra con la tarjeta",""),""))</f>
        <v/>
      </c>
      <c r="Q221" s="4" t="n"/>
    </row>
    <row r="222">
      <c r="A222" s="7" t="n"/>
      <c r="B222" t="str">
        <f>IF(ISNUMBER(A222),CHOOSE(WEEKDAY(A222,2),"lunes","martes","miércoles","jueves","viernes","sábado","domingo"),"")</f>
        <v/>
      </c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  <c r="L222" s="8" t="str">
        <f>IF(AND(ISNUMBER(A222),COUNT(D222:F222)&gt;0),N(D222)+N(E222)+N(F222),"")</f>
        <v/>
      </c>
      <c r="M222" s="8" t="str">
        <f>IF(AND(ISNUMBER(L222),ISNUMBER($C$5),$C$5&gt;=0),ROUND(L222/(1+$C$5/100),2),"")</f>
        <v/>
      </c>
      <c r="N222" s="8" t="str">
        <f>IF(AND(ISNUMBER(A222),COUNT(C222:D222)&gt;0),N(C222)+N(D222)-N(G222)-N(H222),"")</f>
        <v/>
      </c>
      <c r="O222" s="8" t="str">
        <f>IF(AND(ISNUMBER(N222),ISNUMBER(I222)),ROUND(I222-N222,2),"")</f>
        <v/>
      </c>
      <c r="P222" s="9" t="str">
        <f>IF(ISNUMBER(O222),IF(AND(ISNUMBER($G$5),ABS(O222)&gt;$G$5),"Revisa el descuadre",IF(AND(ISNUMBER(J222),ISNUMBER(E222)),IF(ROUND(J222-E222,2)&lt;&gt;0,"El datáfono no cuadra con la tarjeta",""),"")),IF(AND(ISNUMBER(J222),ISNUMBER(E222)),IF(ROUND(J222-E222,2)&lt;&gt;0,"El datáfono no cuadra con la tarjeta",""),""))</f>
        <v/>
      </c>
      <c r="Q222" s="4" t="n"/>
    </row>
    <row r="223">
      <c r="A223" s="7" t="n"/>
      <c r="B223" t="str">
        <f>IF(ISNUMBER(A223),CHOOSE(WEEKDAY(A223,2),"lunes","martes","miércoles","jueves","viernes","sábado","domingo"),"")</f>
        <v/>
      </c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  <c r="L223" s="8" t="str">
        <f>IF(AND(ISNUMBER(A223),COUNT(D223:F223)&gt;0),N(D223)+N(E223)+N(F223),"")</f>
        <v/>
      </c>
      <c r="M223" s="8" t="str">
        <f>IF(AND(ISNUMBER(L223),ISNUMBER($C$5),$C$5&gt;=0),ROUND(L223/(1+$C$5/100),2),"")</f>
        <v/>
      </c>
      <c r="N223" s="8" t="str">
        <f>IF(AND(ISNUMBER(A223),COUNT(C223:D223)&gt;0),N(C223)+N(D223)-N(G223)-N(H223),"")</f>
        <v/>
      </c>
      <c r="O223" s="8" t="str">
        <f>IF(AND(ISNUMBER(N223),ISNUMBER(I223)),ROUND(I223-N223,2),"")</f>
        <v/>
      </c>
      <c r="P223" s="9" t="str">
        <f>IF(ISNUMBER(O223),IF(AND(ISNUMBER($G$5),ABS(O223)&gt;$G$5),"Revisa el descuadre",IF(AND(ISNUMBER(J223),ISNUMBER(E223)),IF(ROUND(J223-E223,2)&lt;&gt;0,"El datáfono no cuadra con la tarjeta",""),"")),IF(AND(ISNUMBER(J223),ISNUMBER(E223)),IF(ROUND(J223-E223,2)&lt;&gt;0,"El datáfono no cuadra con la tarjeta",""),""))</f>
        <v/>
      </c>
      <c r="Q223" s="4" t="n"/>
    </row>
    <row r="224">
      <c r="A224" s="7" t="n"/>
      <c r="B224" t="str">
        <f>IF(ISNUMBER(A224),CHOOSE(WEEKDAY(A224,2),"lunes","martes","miércoles","jueves","viernes","sábado","domingo"),"")</f>
        <v/>
      </c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  <c r="L224" s="8" t="str">
        <f>IF(AND(ISNUMBER(A224),COUNT(D224:F224)&gt;0),N(D224)+N(E224)+N(F224),"")</f>
        <v/>
      </c>
      <c r="M224" s="8" t="str">
        <f>IF(AND(ISNUMBER(L224),ISNUMBER($C$5),$C$5&gt;=0),ROUND(L224/(1+$C$5/100),2),"")</f>
        <v/>
      </c>
      <c r="N224" s="8" t="str">
        <f>IF(AND(ISNUMBER(A224),COUNT(C224:D224)&gt;0),N(C224)+N(D224)-N(G224)-N(H224),"")</f>
        <v/>
      </c>
      <c r="O224" s="8" t="str">
        <f>IF(AND(ISNUMBER(N224),ISNUMBER(I224)),ROUND(I224-N224,2),"")</f>
        <v/>
      </c>
      <c r="P224" s="9" t="str">
        <f>IF(ISNUMBER(O224),IF(AND(ISNUMBER($G$5),ABS(O224)&gt;$G$5),"Revisa el descuadre",IF(AND(ISNUMBER(J224),ISNUMBER(E224)),IF(ROUND(J224-E224,2)&lt;&gt;0,"El datáfono no cuadra con la tarjeta",""),"")),IF(AND(ISNUMBER(J224),ISNUMBER(E224)),IF(ROUND(J224-E224,2)&lt;&gt;0,"El datáfono no cuadra con la tarjeta",""),""))</f>
        <v/>
      </c>
      <c r="Q224" s="4" t="n"/>
    </row>
    <row r="225">
      <c r="A225" s="7" t="n"/>
      <c r="B225" t="str">
        <f>IF(ISNUMBER(A225),CHOOSE(WEEKDAY(A225,2),"lunes","martes","miércoles","jueves","viernes","sábado","domingo"),"")</f>
        <v/>
      </c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  <c r="L225" s="8" t="str">
        <f>IF(AND(ISNUMBER(A225),COUNT(D225:F225)&gt;0),N(D225)+N(E225)+N(F225),"")</f>
        <v/>
      </c>
      <c r="M225" s="8" t="str">
        <f>IF(AND(ISNUMBER(L225),ISNUMBER($C$5),$C$5&gt;=0),ROUND(L225/(1+$C$5/100),2),"")</f>
        <v/>
      </c>
      <c r="N225" s="8" t="str">
        <f>IF(AND(ISNUMBER(A225),COUNT(C225:D225)&gt;0),N(C225)+N(D225)-N(G225)-N(H225),"")</f>
        <v/>
      </c>
      <c r="O225" s="8" t="str">
        <f>IF(AND(ISNUMBER(N225),ISNUMBER(I225)),ROUND(I225-N225,2),"")</f>
        <v/>
      </c>
      <c r="P225" s="9" t="str">
        <f>IF(ISNUMBER(O225),IF(AND(ISNUMBER($G$5),ABS(O225)&gt;$G$5),"Revisa el descuadre",IF(AND(ISNUMBER(J225),ISNUMBER(E225)),IF(ROUND(J225-E225,2)&lt;&gt;0,"El datáfono no cuadra con la tarjeta",""),"")),IF(AND(ISNUMBER(J225),ISNUMBER(E225)),IF(ROUND(J225-E225,2)&lt;&gt;0,"El datáfono no cuadra con la tarjeta",""),""))</f>
        <v/>
      </c>
      <c r="Q225" s="4" t="n"/>
    </row>
    <row r="226">
      <c r="A226" s="7" t="n"/>
      <c r="B226" t="str">
        <f>IF(ISNUMBER(A226),CHOOSE(WEEKDAY(A226,2),"lunes","martes","miércoles","jueves","viernes","sábado","domingo"),"")</f>
        <v/>
      </c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  <c r="L226" s="8" t="str">
        <f>IF(AND(ISNUMBER(A226),COUNT(D226:F226)&gt;0),N(D226)+N(E226)+N(F226),"")</f>
        <v/>
      </c>
      <c r="M226" s="8" t="str">
        <f>IF(AND(ISNUMBER(L226),ISNUMBER($C$5),$C$5&gt;=0),ROUND(L226/(1+$C$5/100),2),"")</f>
        <v/>
      </c>
      <c r="N226" s="8" t="str">
        <f>IF(AND(ISNUMBER(A226),COUNT(C226:D226)&gt;0),N(C226)+N(D226)-N(G226)-N(H226),"")</f>
        <v/>
      </c>
      <c r="O226" s="8" t="str">
        <f>IF(AND(ISNUMBER(N226),ISNUMBER(I226)),ROUND(I226-N226,2),"")</f>
        <v/>
      </c>
      <c r="P226" s="9" t="str">
        <f>IF(ISNUMBER(O226),IF(AND(ISNUMBER($G$5),ABS(O226)&gt;$G$5),"Revisa el descuadre",IF(AND(ISNUMBER(J226),ISNUMBER(E226)),IF(ROUND(J226-E226,2)&lt;&gt;0,"El datáfono no cuadra con la tarjeta",""),"")),IF(AND(ISNUMBER(J226),ISNUMBER(E226)),IF(ROUND(J226-E226,2)&lt;&gt;0,"El datáfono no cuadra con la tarjeta",""),""))</f>
        <v/>
      </c>
      <c r="Q226" s="4" t="n"/>
    </row>
    <row r="227">
      <c r="A227" s="7" t="n"/>
      <c r="B227" t="str">
        <f>IF(ISNUMBER(A227),CHOOSE(WEEKDAY(A227,2),"lunes","martes","miércoles","jueves","viernes","sábado","domingo"),"")</f>
        <v/>
      </c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  <c r="L227" s="8" t="str">
        <f>IF(AND(ISNUMBER(A227),COUNT(D227:F227)&gt;0),N(D227)+N(E227)+N(F227),"")</f>
        <v/>
      </c>
      <c r="M227" s="8" t="str">
        <f>IF(AND(ISNUMBER(L227),ISNUMBER($C$5),$C$5&gt;=0),ROUND(L227/(1+$C$5/100),2),"")</f>
        <v/>
      </c>
      <c r="N227" s="8" t="str">
        <f>IF(AND(ISNUMBER(A227),COUNT(C227:D227)&gt;0),N(C227)+N(D227)-N(G227)-N(H227),"")</f>
        <v/>
      </c>
      <c r="O227" s="8" t="str">
        <f>IF(AND(ISNUMBER(N227),ISNUMBER(I227)),ROUND(I227-N227,2),"")</f>
        <v/>
      </c>
      <c r="P227" s="9" t="str">
        <f>IF(ISNUMBER(O227),IF(AND(ISNUMBER($G$5),ABS(O227)&gt;$G$5),"Revisa el descuadre",IF(AND(ISNUMBER(J227),ISNUMBER(E227)),IF(ROUND(J227-E227,2)&lt;&gt;0,"El datáfono no cuadra con la tarjeta",""),"")),IF(AND(ISNUMBER(J227),ISNUMBER(E227)),IF(ROUND(J227-E227,2)&lt;&gt;0,"El datáfono no cuadra con la tarjeta",""),""))</f>
        <v/>
      </c>
      <c r="Q227" s="4" t="n"/>
    </row>
    <row r="228">
      <c r="A228" s="7" t="n"/>
      <c r="B228" t="str">
        <f>IF(ISNUMBER(A228),CHOOSE(WEEKDAY(A228,2),"lunes","martes","miércoles","jueves","viernes","sábado","domingo"),"")</f>
        <v/>
      </c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  <c r="L228" s="8" t="str">
        <f>IF(AND(ISNUMBER(A228),COUNT(D228:F228)&gt;0),N(D228)+N(E228)+N(F228),"")</f>
        <v/>
      </c>
      <c r="M228" s="8" t="str">
        <f>IF(AND(ISNUMBER(L228),ISNUMBER($C$5),$C$5&gt;=0),ROUND(L228/(1+$C$5/100),2),"")</f>
        <v/>
      </c>
      <c r="N228" s="8" t="str">
        <f>IF(AND(ISNUMBER(A228),COUNT(C228:D228)&gt;0),N(C228)+N(D228)-N(G228)-N(H228),"")</f>
        <v/>
      </c>
      <c r="O228" s="8" t="str">
        <f>IF(AND(ISNUMBER(N228),ISNUMBER(I228)),ROUND(I228-N228,2),"")</f>
        <v/>
      </c>
      <c r="P228" s="9" t="str">
        <f>IF(ISNUMBER(O228),IF(AND(ISNUMBER($G$5),ABS(O228)&gt;$G$5),"Revisa el descuadre",IF(AND(ISNUMBER(J228),ISNUMBER(E228)),IF(ROUND(J228-E228,2)&lt;&gt;0,"El datáfono no cuadra con la tarjeta",""),"")),IF(AND(ISNUMBER(J228),ISNUMBER(E228)),IF(ROUND(J228-E228,2)&lt;&gt;0,"El datáfono no cuadra con la tarjeta",""),""))</f>
        <v/>
      </c>
      <c r="Q228" s="4" t="n"/>
    </row>
    <row r="229">
      <c r="A229" s="7" t="n"/>
      <c r="B229" t="str">
        <f>IF(ISNUMBER(A229),CHOOSE(WEEKDAY(A229,2),"lunes","martes","miércoles","jueves","viernes","sábado","domingo"),"")</f>
        <v/>
      </c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  <c r="L229" s="8" t="str">
        <f>IF(AND(ISNUMBER(A229),COUNT(D229:F229)&gt;0),N(D229)+N(E229)+N(F229),"")</f>
        <v/>
      </c>
      <c r="M229" s="8" t="str">
        <f>IF(AND(ISNUMBER(L229),ISNUMBER($C$5),$C$5&gt;=0),ROUND(L229/(1+$C$5/100),2),"")</f>
        <v/>
      </c>
      <c r="N229" s="8" t="str">
        <f>IF(AND(ISNUMBER(A229),COUNT(C229:D229)&gt;0),N(C229)+N(D229)-N(G229)-N(H229),"")</f>
        <v/>
      </c>
      <c r="O229" s="8" t="str">
        <f>IF(AND(ISNUMBER(N229),ISNUMBER(I229)),ROUND(I229-N229,2),"")</f>
        <v/>
      </c>
      <c r="P229" s="9" t="str">
        <f>IF(ISNUMBER(O229),IF(AND(ISNUMBER($G$5),ABS(O229)&gt;$G$5),"Revisa el descuadre",IF(AND(ISNUMBER(J229),ISNUMBER(E229)),IF(ROUND(J229-E229,2)&lt;&gt;0,"El datáfono no cuadra con la tarjeta",""),"")),IF(AND(ISNUMBER(J229),ISNUMBER(E229)),IF(ROUND(J229-E229,2)&lt;&gt;0,"El datáfono no cuadra con la tarjeta",""),""))</f>
        <v/>
      </c>
      <c r="Q229" s="4" t="n"/>
    </row>
    <row r="230">
      <c r="A230" s="7" t="n"/>
      <c r="B230" t="str">
        <f>IF(ISNUMBER(A230),CHOOSE(WEEKDAY(A230,2),"lunes","martes","miércoles","jueves","viernes","sábado","domingo"),"")</f>
        <v/>
      </c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  <c r="L230" s="8" t="str">
        <f>IF(AND(ISNUMBER(A230),COUNT(D230:F230)&gt;0),N(D230)+N(E230)+N(F230),"")</f>
        <v/>
      </c>
      <c r="M230" s="8" t="str">
        <f>IF(AND(ISNUMBER(L230),ISNUMBER($C$5),$C$5&gt;=0),ROUND(L230/(1+$C$5/100),2),"")</f>
        <v/>
      </c>
      <c r="N230" s="8" t="str">
        <f>IF(AND(ISNUMBER(A230),COUNT(C230:D230)&gt;0),N(C230)+N(D230)-N(G230)-N(H230),"")</f>
        <v/>
      </c>
      <c r="O230" s="8" t="str">
        <f>IF(AND(ISNUMBER(N230),ISNUMBER(I230)),ROUND(I230-N230,2),"")</f>
        <v/>
      </c>
      <c r="P230" s="9" t="str">
        <f>IF(ISNUMBER(O230),IF(AND(ISNUMBER($G$5),ABS(O230)&gt;$G$5),"Revisa el descuadre",IF(AND(ISNUMBER(J230),ISNUMBER(E230)),IF(ROUND(J230-E230,2)&lt;&gt;0,"El datáfono no cuadra con la tarjeta",""),"")),IF(AND(ISNUMBER(J230),ISNUMBER(E230)),IF(ROUND(J230-E230,2)&lt;&gt;0,"El datáfono no cuadra con la tarjeta",""),""))</f>
        <v/>
      </c>
      <c r="Q230" s="4" t="n"/>
    </row>
    <row r="231">
      <c r="A231" s="7" t="n"/>
      <c r="B231" t="str">
        <f>IF(ISNUMBER(A231),CHOOSE(WEEKDAY(A231,2),"lunes","martes","miércoles","jueves","viernes","sábado","domingo"),"")</f>
        <v/>
      </c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  <c r="L231" s="8" t="str">
        <f>IF(AND(ISNUMBER(A231),COUNT(D231:F231)&gt;0),N(D231)+N(E231)+N(F231),"")</f>
        <v/>
      </c>
      <c r="M231" s="8" t="str">
        <f>IF(AND(ISNUMBER(L231),ISNUMBER($C$5),$C$5&gt;=0),ROUND(L231/(1+$C$5/100),2),"")</f>
        <v/>
      </c>
      <c r="N231" s="8" t="str">
        <f>IF(AND(ISNUMBER(A231),COUNT(C231:D231)&gt;0),N(C231)+N(D231)-N(G231)-N(H231),"")</f>
        <v/>
      </c>
      <c r="O231" s="8" t="str">
        <f>IF(AND(ISNUMBER(N231),ISNUMBER(I231)),ROUND(I231-N231,2),"")</f>
        <v/>
      </c>
      <c r="P231" s="9" t="str">
        <f>IF(ISNUMBER(O231),IF(AND(ISNUMBER($G$5),ABS(O231)&gt;$G$5),"Revisa el descuadre",IF(AND(ISNUMBER(J231),ISNUMBER(E231)),IF(ROUND(J231-E231,2)&lt;&gt;0,"El datáfono no cuadra con la tarjeta",""),"")),IF(AND(ISNUMBER(J231),ISNUMBER(E231)),IF(ROUND(J231-E231,2)&lt;&gt;0,"El datáfono no cuadra con la tarjeta",""),""))</f>
        <v/>
      </c>
      <c r="Q231" s="4" t="n"/>
    </row>
    <row r="232">
      <c r="A232" s="7" t="n"/>
      <c r="B232" t="str">
        <f>IF(ISNUMBER(A232),CHOOSE(WEEKDAY(A232,2),"lunes","martes","miércoles","jueves","viernes","sábado","domingo"),"")</f>
        <v/>
      </c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  <c r="L232" s="8" t="str">
        <f>IF(AND(ISNUMBER(A232),COUNT(D232:F232)&gt;0),N(D232)+N(E232)+N(F232),"")</f>
        <v/>
      </c>
      <c r="M232" s="8" t="str">
        <f>IF(AND(ISNUMBER(L232),ISNUMBER($C$5),$C$5&gt;=0),ROUND(L232/(1+$C$5/100),2),"")</f>
        <v/>
      </c>
      <c r="N232" s="8" t="str">
        <f>IF(AND(ISNUMBER(A232),COUNT(C232:D232)&gt;0),N(C232)+N(D232)-N(G232)-N(H232),"")</f>
        <v/>
      </c>
      <c r="O232" s="8" t="str">
        <f>IF(AND(ISNUMBER(N232),ISNUMBER(I232)),ROUND(I232-N232,2),"")</f>
        <v/>
      </c>
      <c r="P232" s="9" t="str">
        <f>IF(ISNUMBER(O232),IF(AND(ISNUMBER($G$5),ABS(O232)&gt;$G$5),"Revisa el descuadre",IF(AND(ISNUMBER(J232),ISNUMBER(E232)),IF(ROUND(J232-E232,2)&lt;&gt;0,"El datáfono no cuadra con la tarjeta",""),"")),IF(AND(ISNUMBER(J232),ISNUMBER(E232)),IF(ROUND(J232-E232,2)&lt;&gt;0,"El datáfono no cuadra con la tarjeta",""),""))</f>
        <v/>
      </c>
      <c r="Q232" s="4" t="n"/>
    </row>
    <row r="233">
      <c r="A233" s="7" t="n"/>
      <c r="B233" t="str">
        <f>IF(ISNUMBER(A233),CHOOSE(WEEKDAY(A233,2),"lunes","martes","miércoles","jueves","viernes","sábado","domingo"),"")</f>
        <v/>
      </c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  <c r="L233" s="8" t="str">
        <f>IF(AND(ISNUMBER(A233),COUNT(D233:F233)&gt;0),N(D233)+N(E233)+N(F233),"")</f>
        <v/>
      </c>
      <c r="M233" s="8" t="str">
        <f>IF(AND(ISNUMBER(L233),ISNUMBER($C$5),$C$5&gt;=0),ROUND(L233/(1+$C$5/100),2),"")</f>
        <v/>
      </c>
      <c r="N233" s="8" t="str">
        <f>IF(AND(ISNUMBER(A233),COUNT(C233:D233)&gt;0),N(C233)+N(D233)-N(G233)-N(H233),"")</f>
        <v/>
      </c>
      <c r="O233" s="8" t="str">
        <f>IF(AND(ISNUMBER(N233),ISNUMBER(I233)),ROUND(I233-N233,2),"")</f>
        <v/>
      </c>
      <c r="P233" s="9" t="str">
        <f>IF(ISNUMBER(O233),IF(AND(ISNUMBER($G$5),ABS(O233)&gt;$G$5),"Revisa el descuadre",IF(AND(ISNUMBER(J233),ISNUMBER(E233)),IF(ROUND(J233-E233,2)&lt;&gt;0,"El datáfono no cuadra con la tarjeta",""),"")),IF(AND(ISNUMBER(J233),ISNUMBER(E233)),IF(ROUND(J233-E233,2)&lt;&gt;0,"El datáfono no cuadra con la tarjeta",""),""))</f>
        <v/>
      </c>
      <c r="Q233" s="4" t="n"/>
    </row>
    <row r="234">
      <c r="A234" s="7" t="n"/>
      <c r="B234" t="str">
        <f>IF(ISNUMBER(A234),CHOOSE(WEEKDAY(A234,2),"lunes","martes","miércoles","jueves","viernes","sábado","domingo"),"")</f>
        <v/>
      </c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  <c r="L234" s="8" t="str">
        <f>IF(AND(ISNUMBER(A234),COUNT(D234:F234)&gt;0),N(D234)+N(E234)+N(F234),"")</f>
        <v/>
      </c>
      <c r="M234" s="8" t="str">
        <f>IF(AND(ISNUMBER(L234),ISNUMBER($C$5),$C$5&gt;=0),ROUND(L234/(1+$C$5/100),2),"")</f>
        <v/>
      </c>
      <c r="N234" s="8" t="str">
        <f>IF(AND(ISNUMBER(A234),COUNT(C234:D234)&gt;0),N(C234)+N(D234)-N(G234)-N(H234),"")</f>
        <v/>
      </c>
      <c r="O234" s="8" t="str">
        <f>IF(AND(ISNUMBER(N234),ISNUMBER(I234)),ROUND(I234-N234,2),"")</f>
        <v/>
      </c>
      <c r="P234" s="9" t="str">
        <f>IF(ISNUMBER(O234),IF(AND(ISNUMBER($G$5),ABS(O234)&gt;$G$5),"Revisa el descuadre",IF(AND(ISNUMBER(J234),ISNUMBER(E234)),IF(ROUND(J234-E234,2)&lt;&gt;0,"El datáfono no cuadra con la tarjeta",""),"")),IF(AND(ISNUMBER(J234),ISNUMBER(E234)),IF(ROUND(J234-E234,2)&lt;&gt;0,"El datáfono no cuadra con la tarjeta",""),""))</f>
        <v/>
      </c>
      <c r="Q234" s="4" t="n"/>
    </row>
    <row r="235">
      <c r="A235" s="7" t="n"/>
      <c r="B235" t="str">
        <f>IF(ISNUMBER(A235),CHOOSE(WEEKDAY(A235,2),"lunes","martes","miércoles","jueves","viernes","sábado","domingo"),"")</f>
        <v/>
      </c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  <c r="L235" s="8" t="str">
        <f>IF(AND(ISNUMBER(A235),COUNT(D235:F235)&gt;0),N(D235)+N(E235)+N(F235),"")</f>
        <v/>
      </c>
      <c r="M235" s="8" t="str">
        <f>IF(AND(ISNUMBER(L235),ISNUMBER($C$5),$C$5&gt;=0),ROUND(L235/(1+$C$5/100),2),"")</f>
        <v/>
      </c>
      <c r="N235" s="8" t="str">
        <f>IF(AND(ISNUMBER(A235),COUNT(C235:D235)&gt;0),N(C235)+N(D235)-N(G235)-N(H235),"")</f>
        <v/>
      </c>
      <c r="O235" s="8" t="str">
        <f>IF(AND(ISNUMBER(N235),ISNUMBER(I235)),ROUND(I235-N235,2),"")</f>
        <v/>
      </c>
      <c r="P235" s="9" t="str">
        <f>IF(ISNUMBER(O235),IF(AND(ISNUMBER($G$5),ABS(O235)&gt;$G$5),"Revisa el descuadre",IF(AND(ISNUMBER(J235),ISNUMBER(E235)),IF(ROUND(J235-E235,2)&lt;&gt;0,"El datáfono no cuadra con la tarjeta",""),"")),IF(AND(ISNUMBER(J235),ISNUMBER(E235)),IF(ROUND(J235-E235,2)&lt;&gt;0,"El datáfono no cuadra con la tarjeta",""),""))</f>
        <v/>
      </c>
      <c r="Q235" s="4" t="n"/>
    </row>
    <row r="236">
      <c r="A236" s="7" t="n"/>
      <c r="B236" t="str">
        <f>IF(ISNUMBER(A236),CHOOSE(WEEKDAY(A236,2),"lunes","martes","miércoles","jueves","viernes","sábado","domingo"),"")</f>
        <v/>
      </c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  <c r="L236" s="8" t="str">
        <f>IF(AND(ISNUMBER(A236),COUNT(D236:F236)&gt;0),N(D236)+N(E236)+N(F236),"")</f>
        <v/>
      </c>
      <c r="M236" s="8" t="str">
        <f>IF(AND(ISNUMBER(L236),ISNUMBER($C$5),$C$5&gt;=0),ROUND(L236/(1+$C$5/100),2),"")</f>
        <v/>
      </c>
      <c r="N236" s="8" t="str">
        <f>IF(AND(ISNUMBER(A236),COUNT(C236:D236)&gt;0),N(C236)+N(D236)-N(G236)-N(H236),"")</f>
        <v/>
      </c>
      <c r="O236" s="8" t="str">
        <f>IF(AND(ISNUMBER(N236),ISNUMBER(I236)),ROUND(I236-N236,2),"")</f>
        <v/>
      </c>
      <c r="P236" s="9" t="str">
        <f>IF(ISNUMBER(O236),IF(AND(ISNUMBER($G$5),ABS(O236)&gt;$G$5),"Revisa el descuadre",IF(AND(ISNUMBER(J236),ISNUMBER(E236)),IF(ROUND(J236-E236,2)&lt;&gt;0,"El datáfono no cuadra con la tarjeta",""),"")),IF(AND(ISNUMBER(J236),ISNUMBER(E236)),IF(ROUND(J236-E236,2)&lt;&gt;0,"El datáfono no cuadra con la tarjeta",""),""))</f>
        <v/>
      </c>
      <c r="Q236" s="4" t="n"/>
    </row>
    <row r="237">
      <c r="A237" s="7" t="n"/>
      <c r="B237" t="str">
        <f>IF(ISNUMBER(A237),CHOOSE(WEEKDAY(A237,2),"lunes","martes","miércoles","jueves","viernes","sábado","domingo"),"")</f>
        <v/>
      </c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  <c r="L237" s="8" t="str">
        <f>IF(AND(ISNUMBER(A237),COUNT(D237:F237)&gt;0),N(D237)+N(E237)+N(F237),"")</f>
        <v/>
      </c>
      <c r="M237" s="8" t="str">
        <f>IF(AND(ISNUMBER(L237),ISNUMBER($C$5),$C$5&gt;=0),ROUND(L237/(1+$C$5/100),2),"")</f>
        <v/>
      </c>
      <c r="N237" s="8" t="str">
        <f>IF(AND(ISNUMBER(A237),COUNT(C237:D237)&gt;0),N(C237)+N(D237)-N(G237)-N(H237),"")</f>
        <v/>
      </c>
      <c r="O237" s="8" t="str">
        <f>IF(AND(ISNUMBER(N237),ISNUMBER(I237)),ROUND(I237-N237,2),"")</f>
        <v/>
      </c>
      <c r="P237" s="9" t="str">
        <f>IF(ISNUMBER(O237),IF(AND(ISNUMBER($G$5),ABS(O237)&gt;$G$5),"Revisa el descuadre",IF(AND(ISNUMBER(J237),ISNUMBER(E237)),IF(ROUND(J237-E237,2)&lt;&gt;0,"El datáfono no cuadra con la tarjeta",""),"")),IF(AND(ISNUMBER(J237),ISNUMBER(E237)),IF(ROUND(J237-E237,2)&lt;&gt;0,"El datáfono no cuadra con la tarjeta",""),""))</f>
        <v/>
      </c>
      <c r="Q237" s="4" t="n"/>
    </row>
    <row r="238">
      <c r="A238" s="7" t="n"/>
      <c r="B238" t="str">
        <f>IF(ISNUMBER(A238),CHOOSE(WEEKDAY(A238,2),"lunes","martes","miércoles","jueves","viernes","sábado","domingo"),"")</f>
        <v/>
      </c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  <c r="L238" s="8" t="str">
        <f>IF(AND(ISNUMBER(A238),COUNT(D238:F238)&gt;0),N(D238)+N(E238)+N(F238),"")</f>
        <v/>
      </c>
      <c r="M238" s="8" t="str">
        <f>IF(AND(ISNUMBER(L238),ISNUMBER($C$5),$C$5&gt;=0),ROUND(L238/(1+$C$5/100),2),"")</f>
        <v/>
      </c>
      <c r="N238" s="8" t="str">
        <f>IF(AND(ISNUMBER(A238),COUNT(C238:D238)&gt;0),N(C238)+N(D238)-N(G238)-N(H238),"")</f>
        <v/>
      </c>
      <c r="O238" s="8" t="str">
        <f>IF(AND(ISNUMBER(N238),ISNUMBER(I238)),ROUND(I238-N238,2),"")</f>
        <v/>
      </c>
      <c r="P238" s="9" t="str">
        <f>IF(ISNUMBER(O238),IF(AND(ISNUMBER($G$5),ABS(O238)&gt;$G$5),"Revisa el descuadre",IF(AND(ISNUMBER(J238),ISNUMBER(E238)),IF(ROUND(J238-E238,2)&lt;&gt;0,"El datáfono no cuadra con la tarjeta",""),"")),IF(AND(ISNUMBER(J238),ISNUMBER(E238)),IF(ROUND(J238-E238,2)&lt;&gt;0,"El datáfono no cuadra con la tarjeta",""),""))</f>
        <v/>
      </c>
      <c r="Q238" s="4" t="n"/>
    </row>
    <row r="239">
      <c r="A239" s="7" t="n"/>
      <c r="B239" t="str">
        <f>IF(ISNUMBER(A239),CHOOSE(WEEKDAY(A239,2),"lunes","martes","miércoles","jueves","viernes","sábado","domingo"),"")</f>
        <v/>
      </c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  <c r="L239" s="8" t="str">
        <f>IF(AND(ISNUMBER(A239),COUNT(D239:F239)&gt;0),N(D239)+N(E239)+N(F239),"")</f>
        <v/>
      </c>
      <c r="M239" s="8" t="str">
        <f>IF(AND(ISNUMBER(L239),ISNUMBER($C$5),$C$5&gt;=0),ROUND(L239/(1+$C$5/100),2),"")</f>
        <v/>
      </c>
      <c r="N239" s="8" t="str">
        <f>IF(AND(ISNUMBER(A239),COUNT(C239:D239)&gt;0),N(C239)+N(D239)-N(G239)-N(H239),"")</f>
        <v/>
      </c>
      <c r="O239" s="8" t="str">
        <f>IF(AND(ISNUMBER(N239),ISNUMBER(I239)),ROUND(I239-N239,2),"")</f>
        <v/>
      </c>
      <c r="P239" s="9" t="str">
        <f>IF(ISNUMBER(O239),IF(AND(ISNUMBER($G$5),ABS(O239)&gt;$G$5),"Revisa el descuadre",IF(AND(ISNUMBER(J239),ISNUMBER(E239)),IF(ROUND(J239-E239,2)&lt;&gt;0,"El datáfono no cuadra con la tarjeta",""),"")),IF(AND(ISNUMBER(J239),ISNUMBER(E239)),IF(ROUND(J239-E239,2)&lt;&gt;0,"El datáfono no cuadra con la tarjeta",""),""))</f>
        <v/>
      </c>
      <c r="Q239" s="4" t="n"/>
    </row>
    <row r="240">
      <c r="A240" s="7" t="n"/>
      <c r="B240" t="str">
        <f>IF(ISNUMBER(A240),CHOOSE(WEEKDAY(A240,2),"lunes","martes","miércoles","jueves","viernes","sábado","domingo"),"")</f>
        <v/>
      </c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  <c r="L240" s="8" t="str">
        <f>IF(AND(ISNUMBER(A240),COUNT(D240:F240)&gt;0),N(D240)+N(E240)+N(F240),"")</f>
        <v/>
      </c>
      <c r="M240" s="8" t="str">
        <f>IF(AND(ISNUMBER(L240),ISNUMBER($C$5),$C$5&gt;=0),ROUND(L240/(1+$C$5/100),2),"")</f>
        <v/>
      </c>
      <c r="N240" s="8" t="str">
        <f>IF(AND(ISNUMBER(A240),COUNT(C240:D240)&gt;0),N(C240)+N(D240)-N(G240)-N(H240),"")</f>
        <v/>
      </c>
      <c r="O240" s="8" t="str">
        <f>IF(AND(ISNUMBER(N240),ISNUMBER(I240)),ROUND(I240-N240,2),"")</f>
        <v/>
      </c>
      <c r="P240" s="9" t="str">
        <f>IF(ISNUMBER(O240),IF(AND(ISNUMBER($G$5),ABS(O240)&gt;$G$5),"Revisa el descuadre",IF(AND(ISNUMBER(J240),ISNUMBER(E240)),IF(ROUND(J240-E240,2)&lt;&gt;0,"El datáfono no cuadra con la tarjeta",""),"")),IF(AND(ISNUMBER(J240),ISNUMBER(E240)),IF(ROUND(J240-E240,2)&lt;&gt;0,"El datáfono no cuadra con la tarjeta",""),""))</f>
        <v/>
      </c>
      <c r="Q240" s="4" t="n"/>
    </row>
    <row r="241">
      <c r="A241" s="7" t="n"/>
      <c r="B241" t="str">
        <f>IF(ISNUMBER(A241),CHOOSE(WEEKDAY(A241,2),"lunes","martes","miércoles","jueves","viernes","sábado","domingo"),"")</f>
        <v/>
      </c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  <c r="L241" s="8" t="str">
        <f>IF(AND(ISNUMBER(A241),COUNT(D241:F241)&gt;0),N(D241)+N(E241)+N(F241),"")</f>
        <v/>
      </c>
      <c r="M241" s="8" t="str">
        <f>IF(AND(ISNUMBER(L241),ISNUMBER($C$5),$C$5&gt;=0),ROUND(L241/(1+$C$5/100),2),"")</f>
        <v/>
      </c>
      <c r="N241" s="8" t="str">
        <f>IF(AND(ISNUMBER(A241),COUNT(C241:D241)&gt;0),N(C241)+N(D241)-N(G241)-N(H241),"")</f>
        <v/>
      </c>
      <c r="O241" s="8" t="str">
        <f>IF(AND(ISNUMBER(N241),ISNUMBER(I241)),ROUND(I241-N241,2),"")</f>
        <v/>
      </c>
      <c r="P241" s="9" t="str">
        <f>IF(ISNUMBER(O241),IF(AND(ISNUMBER($G$5),ABS(O241)&gt;$G$5),"Revisa el descuadre",IF(AND(ISNUMBER(J241),ISNUMBER(E241)),IF(ROUND(J241-E241,2)&lt;&gt;0,"El datáfono no cuadra con la tarjeta",""),"")),IF(AND(ISNUMBER(J241),ISNUMBER(E241)),IF(ROUND(J241-E241,2)&lt;&gt;0,"El datáfono no cuadra con la tarjeta",""),""))</f>
        <v/>
      </c>
      <c r="Q241" s="4" t="n"/>
    </row>
    <row r="242">
      <c r="A242" s="7" t="n"/>
      <c r="B242" t="str">
        <f>IF(ISNUMBER(A242),CHOOSE(WEEKDAY(A242,2),"lunes","martes","miércoles","jueves","viernes","sábado","domingo"),"")</f>
        <v/>
      </c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  <c r="L242" s="8" t="str">
        <f>IF(AND(ISNUMBER(A242),COUNT(D242:F242)&gt;0),N(D242)+N(E242)+N(F242),"")</f>
        <v/>
      </c>
      <c r="M242" s="8" t="str">
        <f>IF(AND(ISNUMBER(L242),ISNUMBER($C$5),$C$5&gt;=0),ROUND(L242/(1+$C$5/100),2),"")</f>
        <v/>
      </c>
      <c r="N242" s="8" t="str">
        <f>IF(AND(ISNUMBER(A242),COUNT(C242:D242)&gt;0),N(C242)+N(D242)-N(G242)-N(H242),"")</f>
        <v/>
      </c>
      <c r="O242" s="8" t="str">
        <f>IF(AND(ISNUMBER(N242),ISNUMBER(I242)),ROUND(I242-N242,2),"")</f>
        <v/>
      </c>
      <c r="P242" s="9" t="str">
        <f>IF(ISNUMBER(O242),IF(AND(ISNUMBER($G$5),ABS(O242)&gt;$G$5),"Revisa el descuadre",IF(AND(ISNUMBER(J242),ISNUMBER(E242)),IF(ROUND(J242-E242,2)&lt;&gt;0,"El datáfono no cuadra con la tarjeta",""),"")),IF(AND(ISNUMBER(J242),ISNUMBER(E242)),IF(ROUND(J242-E242,2)&lt;&gt;0,"El datáfono no cuadra con la tarjeta",""),""))</f>
        <v/>
      </c>
      <c r="Q242" s="4" t="n"/>
    </row>
    <row r="243">
      <c r="A243" s="7" t="n"/>
      <c r="B243" t="str">
        <f>IF(ISNUMBER(A243),CHOOSE(WEEKDAY(A243,2),"lunes","martes","miércoles","jueves","viernes","sábado","domingo"),"")</f>
        <v/>
      </c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  <c r="L243" s="8" t="str">
        <f>IF(AND(ISNUMBER(A243),COUNT(D243:F243)&gt;0),N(D243)+N(E243)+N(F243),"")</f>
        <v/>
      </c>
      <c r="M243" s="8" t="str">
        <f>IF(AND(ISNUMBER(L243),ISNUMBER($C$5),$C$5&gt;=0),ROUND(L243/(1+$C$5/100),2),"")</f>
        <v/>
      </c>
      <c r="N243" s="8" t="str">
        <f>IF(AND(ISNUMBER(A243),COUNT(C243:D243)&gt;0),N(C243)+N(D243)-N(G243)-N(H243),"")</f>
        <v/>
      </c>
      <c r="O243" s="8" t="str">
        <f>IF(AND(ISNUMBER(N243),ISNUMBER(I243)),ROUND(I243-N243,2),"")</f>
        <v/>
      </c>
      <c r="P243" s="9" t="str">
        <f>IF(ISNUMBER(O243),IF(AND(ISNUMBER($G$5),ABS(O243)&gt;$G$5),"Revisa el descuadre",IF(AND(ISNUMBER(J243),ISNUMBER(E243)),IF(ROUND(J243-E243,2)&lt;&gt;0,"El datáfono no cuadra con la tarjeta",""),"")),IF(AND(ISNUMBER(J243),ISNUMBER(E243)),IF(ROUND(J243-E243,2)&lt;&gt;0,"El datáfono no cuadra con la tarjeta",""),""))</f>
        <v/>
      </c>
      <c r="Q243" s="4" t="n"/>
    </row>
    <row r="244">
      <c r="A244" s="7" t="n"/>
      <c r="B244" t="str">
        <f>IF(ISNUMBER(A244),CHOOSE(WEEKDAY(A244,2),"lunes","martes","miércoles","jueves","viernes","sábado","domingo"),"")</f>
        <v/>
      </c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  <c r="L244" s="8" t="str">
        <f>IF(AND(ISNUMBER(A244),COUNT(D244:F244)&gt;0),N(D244)+N(E244)+N(F244),"")</f>
        <v/>
      </c>
      <c r="M244" s="8" t="str">
        <f>IF(AND(ISNUMBER(L244),ISNUMBER($C$5),$C$5&gt;=0),ROUND(L244/(1+$C$5/100),2),"")</f>
        <v/>
      </c>
      <c r="N244" s="8" t="str">
        <f>IF(AND(ISNUMBER(A244),COUNT(C244:D244)&gt;0),N(C244)+N(D244)-N(G244)-N(H244),"")</f>
        <v/>
      </c>
      <c r="O244" s="8" t="str">
        <f>IF(AND(ISNUMBER(N244),ISNUMBER(I244)),ROUND(I244-N244,2),"")</f>
        <v/>
      </c>
      <c r="P244" s="9" t="str">
        <f>IF(ISNUMBER(O244),IF(AND(ISNUMBER($G$5),ABS(O244)&gt;$G$5),"Revisa el descuadre",IF(AND(ISNUMBER(J244),ISNUMBER(E244)),IF(ROUND(J244-E244,2)&lt;&gt;0,"El datáfono no cuadra con la tarjeta",""),"")),IF(AND(ISNUMBER(J244),ISNUMBER(E244)),IF(ROUND(J244-E244,2)&lt;&gt;0,"El datáfono no cuadra con la tarjeta",""),""))</f>
        <v/>
      </c>
      <c r="Q244" s="4" t="n"/>
    </row>
    <row r="245">
      <c r="A245" s="7" t="n"/>
      <c r="B245" t="str">
        <f>IF(ISNUMBER(A245),CHOOSE(WEEKDAY(A245,2),"lunes","martes","miércoles","jueves","viernes","sábado","domingo"),"")</f>
        <v/>
      </c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  <c r="L245" s="8" t="str">
        <f>IF(AND(ISNUMBER(A245),COUNT(D245:F245)&gt;0),N(D245)+N(E245)+N(F245),"")</f>
        <v/>
      </c>
      <c r="M245" s="8" t="str">
        <f>IF(AND(ISNUMBER(L245),ISNUMBER($C$5),$C$5&gt;=0),ROUND(L245/(1+$C$5/100),2),"")</f>
        <v/>
      </c>
      <c r="N245" s="8" t="str">
        <f>IF(AND(ISNUMBER(A245),COUNT(C245:D245)&gt;0),N(C245)+N(D245)-N(G245)-N(H245),"")</f>
        <v/>
      </c>
      <c r="O245" s="8" t="str">
        <f>IF(AND(ISNUMBER(N245),ISNUMBER(I245)),ROUND(I245-N245,2),"")</f>
        <v/>
      </c>
      <c r="P245" s="9" t="str">
        <f>IF(ISNUMBER(O245),IF(AND(ISNUMBER($G$5),ABS(O245)&gt;$G$5),"Revisa el descuadre",IF(AND(ISNUMBER(J245),ISNUMBER(E245)),IF(ROUND(J245-E245,2)&lt;&gt;0,"El datáfono no cuadra con la tarjeta",""),"")),IF(AND(ISNUMBER(J245),ISNUMBER(E245)),IF(ROUND(J245-E245,2)&lt;&gt;0,"El datáfono no cuadra con la tarjeta",""),""))</f>
        <v/>
      </c>
      <c r="Q245" s="4" t="n"/>
    </row>
    <row r="246">
      <c r="A246" s="7" t="n"/>
      <c r="B246" t="str">
        <f>IF(ISNUMBER(A246),CHOOSE(WEEKDAY(A246,2),"lunes","martes","miércoles","jueves","viernes","sábado","domingo"),"")</f>
        <v/>
      </c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  <c r="L246" s="8" t="str">
        <f>IF(AND(ISNUMBER(A246),COUNT(D246:F246)&gt;0),N(D246)+N(E246)+N(F246),"")</f>
        <v/>
      </c>
      <c r="M246" s="8" t="str">
        <f>IF(AND(ISNUMBER(L246),ISNUMBER($C$5),$C$5&gt;=0),ROUND(L246/(1+$C$5/100),2),"")</f>
        <v/>
      </c>
      <c r="N246" s="8" t="str">
        <f>IF(AND(ISNUMBER(A246),COUNT(C246:D246)&gt;0),N(C246)+N(D246)-N(G246)-N(H246),"")</f>
        <v/>
      </c>
      <c r="O246" s="8" t="str">
        <f>IF(AND(ISNUMBER(N246),ISNUMBER(I246)),ROUND(I246-N246,2),"")</f>
        <v/>
      </c>
      <c r="P246" s="9" t="str">
        <f>IF(ISNUMBER(O246),IF(AND(ISNUMBER($G$5),ABS(O246)&gt;$G$5),"Revisa el descuadre",IF(AND(ISNUMBER(J246),ISNUMBER(E246)),IF(ROUND(J246-E246,2)&lt;&gt;0,"El datáfono no cuadra con la tarjeta",""),"")),IF(AND(ISNUMBER(J246),ISNUMBER(E246)),IF(ROUND(J246-E246,2)&lt;&gt;0,"El datáfono no cuadra con la tarjeta",""),""))</f>
        <v/>
      </c>
      <c r="Q246" s="4" t="n"/>
    </row>
    <row r="247">
      <c r="A247" s="7" t="n"/>
      <c r="B247" t="str">
        <f>IF(ISNUMBER(A247),CHOOSE(WEEKDAY(A247,2),"lunes","martes","miércoles","jueves","viernes","sábado","domingo"),"")</f>
        <v/>
      </c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  <c r="L247" s="8" t="str">
        <f>IF(AND(ISNUMBER(A247),COUNT(D247:F247)&gt;0),N(D247)+N(E247)+N(F247),"")</f>
        <v/>
      </c>
      <c r="M247" s="8" t="str">
        <f>IF(AND(ISNUMBER(L247),ISNUMBER($C$5),$C$5&gt;=0),ROUND(L247/(1+$C$5/100),2),"")</f>
        <v/>
      </c>
      <c r="N247" s="8" t="str">
        <f>IF(AND(ISNUMBER(A247),COUNT(C247:D247)&gt;0),N(C247)+N(D247)-N(G247)-N(H247),"")</f>
        <v/>
      </c>
      <c r="O247" s="8" t="str">
        <f>IF(AND(ISNUMBER(N247),ISNUMBER(I247)),ROUND(I247-N247,2),"")</f>
        <v/>
      </c>
      <c r="P247" s="9" t="str">
        <f>IF(ISNUMBER(O247),IF(AND(ISNUMBER($G$5),ABS(O247)&gt;$G$5),"Revisa el descuadre",IF(AND(ISNUMBER(J247),ISNUMBER(E247)),IF(ROUND(J247-E247,2)&lt;&gt;0,"El datáfono no cuadra con la tarjeta",""),"")),IF(AND(ISNUMBER(J247),ISNUMBER(E247)),IF(ROUND(J247-E247,2)&lt;&gt;0,"El datáfono no cuadra con la tarjeta",""),""))</f>
        <v/>
      </c>
      <c r="Q247" s="4" t="n"/>
    </row>
    <row r="248">
      <c r="A248" s="7" t="n"/>
      <c r="B248" t="str">
        <f>IF(ISNUMBER(A248),CHOOSE(WEEKDAY(A248,2),"lunes","martes","miércoles","jueves","viernes","sábado","domingo"),"")</f>
        <v/>
      </c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  <c r="L248" s="8" t="str">
        <f>IF(AND(ISNUMBER(A248),COUNT(D248:F248)&gt;0),N(D248)+N(E248)+N(F248),"")</f>
        <v/>
      </c>
      <c r="M248" s="8" t="str">
        <f>IF(AND(ISNUMBER(L248),ISNUMBER($C$5),$C$5&gt;=0),ROUND(L248/(1+$C$5/100),2),"")</f>
        <v/>
      </c>
      <c r="N248" s="8" t="str">
        <f>IF(AND(ISNUMBER(A248),COUNT(C248:D248)&gt;0),N(C248)+N(D248)-N(G248)-N(H248),"")</f>
        <v/>
      </c>
      <c r="O248" s="8" t="str">
        <f>IF(AND(ISNUMBER(N248),ISNUMBER(I248)),ROUND(I248-N248,2),"")</f>
        <v/>
      </c>
      <c r="P248" s="9" t="str">
        <f>IF(ISNUMBER(O248),IF(AND(ISNUMBER($G$5),ABS(O248)&gt;$G$5),"Revisa el descuadre",IF(AND(ISNUMBER(J248),ISNUMBER(E248)),IF(ROUND(J248-E248,2)&lt;&gt;0,"El datáfono no cuadra con la tarjeta",""),"")),IF(AND(ISNUMBER(J248),ISNUMBER(E248)),IF(ROUND(J248-E248,2)&lt;&gt;0,"El datáfono no cuadra con la tarjeta",""),""))</f>
        <v/>
      </c>
      <c r="Q248" s="4" t="n"/>
    </row>
    <row r="249">
      <c r="A249" s="7" t="n"/>
      <c r="B249" t="str">
        <f>IF(ISNUMBER(A249),CHOOSE(WEEKDAY(A249,2),"lunes","martes","miércoles","jueves","viernes","sábado","domingo"),"")</f>
        <v/>
      </c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  <c r="L249" s="8" t="str">
        <f>IF(AND(ISNUMBER(A249),COUNT(D249:F249)&gt;0),N(D249)+N(E249)+N(F249),"")</f>
        <v/>
      </c>
      <c r="M249" s="8" t="str">
        <f>IF(AND(ISNUMBER(L249),ISNUMBER($C$5),$C$5&gt;=0),ROUND(L249/(1+$C$5/100),2),"")</f>
        <v/>
      </c>
      <c r="N249" s="8" t="str">
        <f>IF(AND(ISNUMBER(A249),COUNT(C249:D249)&gt;0),N(C249)+N(D249)-N(G249)-N(H249),"")</f>
        <v/>
      </c>
      <c r="O249" s="8" t="str">
        <f>IF(AND(ISNUMBER(N249),ISNUMBER(I249)),ROUND(I249-N249,2),"")</f>
        <v/>
      </c>
      <c r="P249" s="9" t="str">
        <f>IF(ISNUMBER(O249),IF(AND(ISNUMBER($G$5),ABS(O249)&gt;$G$5),"Revisa el descuadre",IF(AND(ISNUMBER(J249),ISNUMBER(E249)),IF(ROUND(J249-E249,2)&lt;&gt;0,"El datáfono no cuadra con la tarjeta",""),"")),IF(AND(ISNUMBER(J249),ISNUMBER(E249)),IF(ROUND(J249-E249,2)&lt;&gt;0,"El datáfono no cuadra con la tarjeta",""),""))</f>
        <v/>
      </c>
      <c r="Q249" s="4" t="n"/>
    </row>
    <row r="250">
      <c r="A250" s="7" t="n"/>
      <c r="B250" t="str">
        <f>IF(ISNUMBER(A250),CHOOSE(WEEKDAY(A250,2),"lunes","martes","miércoles","jueves","viernes","sábado","domingo"),"")</f>
        <v/>
      </c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  <c r="L250" s="8" t="str">
        <f>IF(AND(ISNUMBER(A250),COUNT(D250:F250)&gt;0),N(D250)+N(E250)+N(F250),"")</f>
        <v/>
      </c>
      <c r="M250" s="8" t="str">
        <f>IF(AND(ISNUMBER(L250),ISNUMBER($C$5),$C$5&gt;=0),ROUND(L250/(1+$C$5/100),2),"")</f>
        <v/>
      </c>
      <c r="N250" s="8" t="str">
        <f>IF(AND(ISNUMBER(A250),COUNT(C250:D250)&gt;0),N(C250)+N(D250)-N(G250)-N(H250),"")</f>
        <v/>
      </c>
      <c r="O250" s="8" t="str">
        <f>IF(AND(ISNUMBER(N250),ISNUMBER(I250)),ROUND(I250-N250,2),"")</f>
        <v/>
      </c>
      <c r="P250" s="9" t="str">
        <f>IF(ISNUMBER(O250),IF(AND(ISNUMBER($G$5),ABS(O250)&gt;$G$5),"Revisa el descuadre",IF(AND(ISNUMBER(J250),ISNUMBER(E250)),IF(ROUND(J250-E250,2)&lt;&gt;0,"El datáfono no cuadra con la tarjeta",""),"")),IF(AND(ISNUMBER(J250),ISNUMBER(E250)),IF(ROUND(J250-E250,2)&lt;&gt;0,"El datáfono no cuadra con la tarjeta",""),""))</f>
        <v/>
      </c>
      <c r="Q250" s="4" t="n"/>
    </row>
    <row r="251">
      <c r="A251" s="7" t="n"/>
      <c r="B251" t="str">
        <f>IF(ISNUMBER(A251),CHOOSE(WEEKDAY(A251,2),"lunes","martes","miércoles","jueves","viernes","sábado","domingo"),"")</f>
        <v/>
      </c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  <c r="L251" s="8" t="str">
        <f>IF(AND(ISNUMBER(A251),COUNT(D251:F251)&gt;0),N(D251)+N(E251)+N(F251),"")</f>
        <v/>
      </c>
      <c r="M251" s="8" t="str">
        <f>IF(AND(ISNUMBER(L251),ISNUMBER($C$5),$C$5&gt;=0),ROUND(L251/(1+$C$5/100),2),"")</f>
        <v/>
      </c>
      <c r="N251" s="8" t="str">
        <f>IF(AND(ISNUMBER(A251),COUNT(C251:D251)&gt;0),N(C251)+N(D251)-N(G251)-N(H251),"")</f>
        <v/>
      </c>
      <c r="O251" s="8" t="str">
        <f>IF(AND(ISNUMBER(N251),ISNUMBER(I251)),ROUND(I251-N251,2),"")</f>
        <v/>
      </c>
      <c r="P251" s="9" t="str">
        <f>IF(ISNUMBER(O251),IF(AND(ISNUMBER($G$5),ABS(O251)&gt;$G$5),"Revisa el descuadre",IF(AND(ISNUMBER(J251),ISNUMBER(E251)),IF(ROUND(J251-E251,2)&lt;&gt;0,"El datáfono no cuadra con la tarjeta",""),"")),IF(AND(ISNUMBER(J251),ISNUMBER(E251)),IF(ROUND(J251-E251,2)&lt;&gt;0,"El datáfono no cuadra con la tarjeta",""),""))</f>
        <v/>
      </c>
      <c r="Q251" s="4" t="n"/>
    </row>
    <row r="252">
      <c r="A252" s="7" t="n"/>
      <c r="B252" t="str">
        <f>IF(ISNUMBER(A252),CHOOSE(WEEKDAY(A252,2),"lunes","martes","miércoles","jueves","viernes","sábado","domingo"),"")</f>
        <v/>
      </c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  <c r="L252" s="8" t="str">
        <f>IF(AND(ISNUMBER(A252),COUNT(D252:F252)&gt;0),N(D252)+N(E252)+N(F252),"")</f>
        <v/>
      </c>
      <c r="M252" s="8" t="str">
        <f>IF(AND(ISNUMBER(L252),ISNUMBER($C$5),$C$5&gt;=0),ROUND(L252/(1+$C$5/100),2),"")</f>
        <v/>
      </c>
      <c r="N252" s="8" t="str">
        <f>IF(AND(ISNUMBER(A252),COUNT(C252:D252)&gt;0),N(C252)+N(D252)-N(G252)-N(H252),"")</f>
        <v/>
      </c>
      <c r="O252" s="8" t="str">
        <f>IF(AND(ISNUMBER(N252),ISNUMBER(I252)),ROUND(I252-N252,2),"")</f>
        <v/>
      </c>
      <c r="P252" s="9" t="str">
        <f>IF(ISNUMBER(O252),IF(AND(ISNUMBER($G$5),ABS(O252)&gt;$G$5),"Revisa el descuadre",IF(AND(ISNUMBER(J252),ISNUMBER(E252)),IF(ROUND(J252-E252,2)&lt;&gt;0,"El datáfono no cuadra con la tarjeta",""),"")),IF(AND(ISNUMBER(J252),ISNUMBER(E252)),IF(ROUND(J252-E252,2)&lt;&gt;0,"El datáfono no cuadra con la tarjeta",""),""))</f>
        <v/>
      </c>
      <c r="Q252" s="4" t="n"/>
    </row>
    <row r="253">
      <c r="A253" s="7" t="n"/>
      <c r="B253" t="str">
        <f>IF(ISNUMBER(A253),CHOOSE(WEEKDAY(A253,2),"lunes","martes","miércoles","jueves","viernes","sábado","domingo"),"")</f>
        <v/>
      </c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  <c r="L253" s="8" t="str">
        <f>IF(AND(ISNUMBER(A253),COUNT(D253:F253)&gt;0),N(D253)+N(E253)+N(F253),"")</f>
        <v/>
      </c>
      <c r="M253" s="8" t="str">
        <f>IF(AND(ISNUMBER(L253),ISNUMBER($C$5),$C$5&gt;=0),ROUND(L253/(1+$C$5/100),2),"")</f>
        <v/>
      </c>
      <c r="N253" s="8" t="str">
        <f>IF(AND(ISNUMBER(A253),COUNT(C253:D253)&gt;0),N(C253)+N(D253)-N(G253)-N(H253),"")</f>
        <v/>
      </c>
      <c r="O253" s="8" t="str">
        <f>IF(AND(ISNUMBER(N253),ISNUMBER(I253)),ROUND(I253-N253,2),"")</f>
        <v/>
      </c>
      <c r="P253" s="9" t="str">
        <f>IF(ISNUMBER(O253),IF(AND(ISNUMBER($G$5),ABS(O253)&gt;$G$5),"Revisa el descuadre",IF(AND(ISNUMBER(J253),ISNUMBER(E253)),IF(ROUND(J253-E253,2)&lt;&gt;0,"El datáfono no cuadra con la tarjeta",""),"")),IF(AND(ISNUMBER(J253),ISNUMBER(E253)),IF(ROUND(J253-E253,2)&lt;&gt;0,"El datáfono no cuadra con la tarjeta",""),""))</f>
        <v/>
      </c>
      <c r="Q253" s="4" t="n"/>
    </row>
    <row r="254">
      <c r="A254" s="7" t="n"/>
      <c r="B254" t="str">
        <f>IF(ISNUMBER(A254),CHOOSE(WEEKDAY(A254,2),"lunes","martes","miércoles","jueves","viernes","sábado","domingo"),"")</f>
        <v/>
      </c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  <c r="L254" s="8" t="str">
        <f>IF(AND(ISNUMBER(A254),COUNT(D254:F254)&gt;0),N(D254)+N(E254)+N(F254),"")</f>
        <v/>
      </c>
      <c r="M254" s="8" t="str">
        <f>IF(AND(ISNUMBER(L254),ISNUMBER($C$5),$C$5&gt;=0),ROUND(L254/(1+$C$5/100),2),"")</f>
        <v/>
      </c>
      <c r="N254" s="8" t="str">
        <f>IF(AND(ISNUMBER(A254),COUNT(C254:D254)&gt;0),N(C254)+N(D254)-N(G254)-N(H254),"")</f>
        <v/>
      </c>
      <c r="O254" s="8" t="str">
        <f>IF(AND(ISNUMBER(N254),ISNUMBER(I254)),ROUND(I254-N254,2),"")</f>
        <v/>
      </c>
      <c r="P254" s="9" t="str">
        <f>IF(ISNUMBER(O254),IF(AND(ISNUMBER($G$5),ABS(O254)&gt;$G$5),"Revisa el descuadre",IF(AND(ISNUMBER(J254),ISNUMBER(E254)),IF(ROUND(J254-E254,2)&lt;&gt;0,"El datáfono no cuadra con la tarjeta",""),"")),IF(AND(ISNUMBER(J254),ISNUMBER(E254)),IF(ROUND(J254-E254,2)&lt;&gt;0,"El datáfono no cuadra con la tarjeta",""),""))</f>
        <v/>
      </c>
      <c r="Q254" s="4" t="n"/>
    </row>
    <row r="255">
      <c r="A255" s="7" t="n"/>
      <c r="B255" t="str">
        <f>IF(ISNUMBER(A255),CHOOSE(WEEKDAY(A255,2),"lunes","martes","miércoles","jueves","viernes","sábado","domingo"),"")</f>
        <v/>
      </c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  <c r="L255" s="8" t="str">
        <f>IF(AND(ISNUMBER(A255),COUNT(D255:F255)&gt;0),N(D255)+N(E255)+N(F255),"")</f>
        <v/>
      </c>
      <c r="M255" s="8" t="str">
        <f>IF(AND(ISNUMBER(L255),ISNUMBER($C$5),$C$5&gt;=0),ROUND(L255/(1+$C$5/100),2),"")</f>
        <v/>
      </c>
      <c r="N255" s="8" t="str">
        <f>IF(AND(ISNUMBER(A255),COUNT(C255:D255)&gt;0),N(C255)+N(D255)-N(G255)-N(H255),"")</f>
        <v/>
      </c>
      <c r="O255" s="8" t="str">
        <f>IF(AND(ISNUMBER(N255),ISNUMBER(I255)),ROUND(I255-N255,2),"")</f>
        <v/>
      </c>
      <c r="P255" s="9" t="str">
        <f>IF(ISNUMBER(O255),IF(AND(ISNUMBER($G$5),ABS(O255)&gt;$G$5),"Revisa el descuadre",IF(AND(ISNUMBER(J255),ISNUMBER(E255)),IF(ROUND(J255-E255,2)&lt;&gt;0,"El datáfono no cuadra con la tarjeta",""),"")),IF(AND(ISNUMBER(J255),ISNUMBER(E255)),IF(ROUND(J255-E255,2)&lt;&gt;0,"El datáfono no cuadra con la tarjeta",""),""))</f>
        <v/>
      </c>
      <c r="Q255" s="4" t="n"/>
    </row>
    <row r="256">
      <c r="A256" s="7" t="n"/>
      <c r="B256" t="str">
        <f>IF(ISNUMBER(A256),CHOOSE(WEEKDAY(A256,2),"lunes","martes","miércoles","jueves","viernes","sábado","domingo"),"")</f>
        <v/>
      </c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  <c r="L256" s="8" t="str">
        <f>IF(AND(ISNUMBER(A256),COUNT(D256:F256)&gt;0),N(D256)+N(E256)+N(F256),"")</f>
        <v/>
      </c>
      <c r="M256" s="8" t="str">
        <f>IF(AND(ISNUMBER(L256),ISNUMBER($C$5),$C$5&gt;=0),ROUND(L256/(1+$C$5/100),2),"")</f>
        <v/>
      </c>
      <c r="N256" s="8" t="str">
        <f>IF(AND(ISNUMBER(A256),COUNT(C256:D256)&gt;0),N(C256)+N(D256)-N(G256)-N(H256),"")</f>
        <v/>
      </c>
      <c r="O256" s="8" t="str">
        <f>IF(AND(ISNUMBER(N256),ISNUMBER(I256)),ROUND(I256-N256,2),"")</f>
        <v/>
      </c>
      <c r="P256" s="9" t="str">
        <f>IF(ISNUMBER(O256),IF(AND(ISNUMBER($G$5),ABS(O256)&gt;$G$5),"Revisa el descuadre",IF(AND(ISNUMBER(J256),ISNUMBER(E256)),IF(ROUND(J256-E256,2)&lt;&gt;0,"El datáfono no cuadra con la tarjeta",""),"")),IF(AND(ISNUMBER(J256),ISNUMBER(E256)),IF(ROUND(J256-E256,2)&lt;&gt;0,"El datáfono no cuadra con la tarjeta",""),""))</f>
        <v/>
      </c>
      <c r="Q256" s="4" t="n"/>
    </row>
    <row r="257">
      <c r="A257" s="7" t="n"/>
      <c r="B257" t="str">
        <f>IF(ISNUMBER(A257),CHOOSE(WEEKDAY(A257,2),"lunes","martes","miércoles","jueves","viernes","sábado","domingo"),"")</f>
        <v/>
      </c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  <c r="L257" s="8" t="str">
        <f>IF(AND(ISNUMBER(A257),COUNT(D257:F257)&gt;0),N(D257)+N(E257)+N(F257),"")</f>
        <v/>
      </c>
      <c r="M257" s="8" t="str">
        <f>IF(AND(ISNUMBER(L257),ISNUMBER($C$5),$C$5&gt;=0),ROUND(L257/(1+$C$5/100),2),"")</f>
        <v/>
      </c>
      <c r="N257" s="8" t="str">
        <f>IF(AND(ISNUMBER(A257),COUNT(C257:D257)&gt;0),N(C257)+N(D257)-N(G257)-N(H257),"")</f>
        <v/>
      </c>
      <c r="O257" s="8" t="str">
        <f>IF(AND(ISNUMBER(N257),ISNUMBER(I257)),ROUND(I257-N257,2),"")</f>
        <v/>
      </c>
      <c r="P257" s="9" t="str">
        <f>IF(ISNUMBER(O257),IF(AND(ISNUMBER($G$5),ABS(O257)&gt;$G$5),"Revisa el descuadre",IF(AND(ISNUMBER(J257),ISNUMBER(E257)),IF(ROUND(J257-E257,2)&lt;&gt;0,"El datáfono no cuadra con la tarjeta",""),"")),IF(AND(ISNUMBER(J257),ISNUMBER(E257)),IF(ROUND(J257-E257,2)&lt;&gt;0,"El datáfono no cuadra con la tarjeta",""),""))</f>
        <v/>
      </c>
      <c r="Q257" s="4" t="n"/>
    </row>
    <row r="258">
      <c r="A258" s="7" t="n"/>
      <c r="B258" t="str">
        <f>IF(ISNUMBER(A258),CHOOSE(WEEKDAY(A258,2),"lunes","martes","miércoles","jueves","viernes","sábado","domingo"),"")</f>
        <v/>
      </c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  <c r="L258" s="8" t="str">
        <f>IF(AND(ISNUMBER(A258),COUNT(D258:F258)&gt;0),N(D258)+N(E258)+N(F258),"")</f>
        <v/>
      </c>
      <c r="M258" s="8" t="str">
        <f>IF(AND(ISNUMBER(L258),ISNUMBER($C$5),$C$5&gt;=0),ROUND(L258/(1+$C$5/100),2),"")</f>
        <v/>
      </c>
      <c r="N258" s="8" t="str">
        <f>IF(AND(ISNUMBER(A258),COUNT(C258:D258)&gt;0),N(C258)+N(D258)-N(G258)-N(H258),"")</f>
        <v/>
      </c>
      <c r="O258" s="8" t="str">
        <f>IF(AND(ISNUMBER(N258),ISNUMBER(I258)),ROUND(I258-N258,2),"")</f>
        <v/>
      </c>
      <c r="P258" s="9" t="str">
        <f>IF(ISNUMBER(O258),IF(AND(ISNUMBER($G$5),ABS(O258)&gt;$G$5),"Revisa el descuadre",IF(AND(ISNUMBER(J258),ISNUMBER(E258)),IF(ROUND(J258-E258,2)&lt;&gt;0,"El datáfono no cuadra con la tarjeta",""),"")),IF(AND(ISNUMBER(J258),ISNUMBER(E258)),IF(ROUND(J258-E258,2)&lt;&gt;0,"El datáfono no cuadra con la tarjeta",""),""))</f>
        <v/>
      </c>
      <c r="Q258" s="4" t="n"/>
    </row>
    <row r="259">
      <c r="A259" s="7" t="n"/>
      <c r="B259" t="str">
        <f>IF(ISNUMBER(A259),CHOOSE(WEEKDAY(A259,2),"lunes","martes","miércoles","jueves","viernes","sábado","domingo"),"")</f>
        <v/>
      </c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  <c r="L259" s="8" t="str">
        <f>IF(AND(ISNUMBER(A259),COUNT(D259:F259)&gt;0),N(D259)+N(E259)+N(F259),"")</f>
        <v/>
      </c>
      <c r="M259" s="8" t="str">
        <f>IF(AND(ISNUMBER(L259),ISNUMBER($C$5),$C$5&gt;=0),ROUND(L259/(1+$C$5/100),2),"")</f>
        <v/>
      </c>
      <c r="N259" s="8" t="str">
        <f>IF(AND(ISNUMBER(A259),COUNT(C259:D259)&gt;0),N(C259)+N(D259)-N(G259)-N(H259),"")</f>
        <v/>
      </c>
      <c r="O259" s="8" t="str">
        <f>IF(AND(ISNUMBER(N259),ISNUMBER(I259)),ROUND(I259-N259,2),"")</f>
        <v/>
      </c>
      <c r="P259" s="9" t="str">
        <f>IF(ISNUMBER(O259),IF(AND(ISNUMBER($G$5),ABS(O259)&gt;$G$5),"Revisa el descuadre",IF(AND(ISNUMBER(J259),ISNUMBER(E259)),IF(ROUND(J259-E259,2)&lt;&gt;0,"El datáfono no cuadra con la tarjeta",""),"")),IF(AND(ISNUMBER(J259),ISNUMBER(E259)),IF(ROUND(J259-E259,2)&lt;&gt;0,"El datáfono no cuadra con la tarjeta",""),""))</f>
        <v/>
      </c>
      <c r="Q259" s="4" t="n"/>
    </row>
    <row r="260">
      <c r="A260" s="7" t="n"/>
      <c r="B260" t="str">
        <f>IF(ISNUMBER(A260),CHOOSE(WEEKDAY(A260,2),"lunes","martes","miércoles","jueves","viernes","sábado","domingo"),"")</f>
        <v/>
      </c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  <c r="L260" s="8" t="str">
        <f>IF(AND(ISNUMBER(A260),COUNT(D260:F260)&gt;0),N(D260)+N(E260)+N(F260),"")</f>
        <v/>
      </c>
      <c r="M260" s="8" t="str">
        <f>IF(AND(ISNUMBER(L260),ISNUMBER($C$5),$C$5&gt;=0),ROUND(L260/(1+$C$5/100),2),"")</f>
        <v/>
      </c>
      <c r="N260" s="8" t="str">
        <f>IF(AND(ISNUMBER(A260),COUNT(C260:D260)&gt;0),N(C260)+N(D260)-N(G260)-N(H260),"")</f>
        <v/>
      </c>
      <c r="O260" s="8" t="str">
        <f>IF(AND(ISNUMBER(N260),ISNUMBER(I260)),ROUND(I260-N260,2),"")</f>
        <v/>
      </c>
      <c r="P260" s="9" t="str">
        <f>IF(ISNUMBER(O260),IF(AND(ISNUMBER($G$5),ABS(O260)&gt;$G$5),"Revisa el descuadre",IF(AND(ISNUMBER(J260),ISNUMBER(E260)),IF(ROUND(J260-E260,2)&lt;&gt;0,"El datáfono no cuadra con la tarjeta",""),"")),IF(AND(ISNUMBER(J260),ISNUMBER(E260)),IF(ROUND(J260-E260,2)&lt;&gt;0,"El datáfono no cuadra con la tarjeta",""),""))</f>
        <v/>
      </c>
      <c r="Q260" s="4" t="n"/>
    </row>
    <row r="261">
      <c r="A261" s="7" t="n"/>
      <c r="B261" t="str">
        <f>IF(ISNUMBER(A261),CHOOSE(WEEKDAY(A261,2),"lunes","martes","miércoles","jueves","viernes","sábado","domingo"),"")</f>
        <v/>
      </c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  <c r="L261" s="8" t="str">
        <f>IF(AND(ISNUMBER(A261),COUNT(D261:F261)&gt;0),N(D261)+N(E261)+N(F261),"")</f>
        <v/>
      </c>
      <c r="M261" s="8" t="str">
        <f>IF(AND(ISNUMBER(L261),ISNUMBER($C$5),$C$5&gt;=0),ROUND(L261/(1+$C$5/100),2),"")</f>
        <v/>
      </c>
      <c r="N261" s="8" t="str">
        <f>IF(AND(ISNUMBER(A261),COUNT(C261:D261)&gt;0),N(C261)+N(D261)-N(G261)-N(H261),"")</f>
        <v/>
      </c>
      <c r="O261" s="8" t="str">
        <f>IF(AND(ISNUMBER(N261),ISNUMBER(I261)),ROUND(I261-N261,2),"")</f>
        <v/>
      </c>
      <c r="P261" s="9" t="str">
        <f>IF(ISNUMBER(O261),IF(AND(ISNUMBER($G$5),ABS(O261)&gt;$G$5),"Revisa el descuadre",IF(AND(ISNUMBER(J261),ISNUMBER(E261)),IF(ROUND(J261-E261,2)&lt;&gt;0,"El datáfono no cuadra con la tarjeta",""),"")),IF(AND(ISNUMBER(J261),ISNUMBER(E261)),IF(ROUND(J261-E261,2)&lt;&gt;0,"El datáfono no cuadra con la tarjeta",""),""))</f>
        <v/>
      </c>
      <c r="Q261" s="4" t="n"/>
    </row>
    <row r="262">
      <c r="A262" s="7" t="n"/>
      <c r="B262" t="str">
        <f>IF(ISNUMBER(A262),CHOOSE(WEEKDAY(A262,2),"lunes","martes","miércoles","jueves","viernes","sábado","domingo"),"")</f>
        <v/>
      </c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  <c r="L262" s="8" t="str">
        <f>IF(AND(ISNUMBER(A262),COUNT(D262:F262)&gt;0),N(D262)+N(E262)+N(F262),"")</f>
        <v/>
      </c>
      <c r="M262" s="8" t="str">
        <f>IF(AND(ISNUMBER(L262),ISNUMBER($C$5),$C$5&gt;=0),ROUND(L262/(1+$C$5/100),2),"")</f>
        <v/>
      </c>
      <c r="N262" s="8" t="str">
        <f>IF(AND(ISNUMBER(A262),COUNT(C262:D262)&gt;0),N(C262)+N(D262)-N(G262)-N(H262),"")</f>
        <v/>
      </c>
      <c r="O262" s="8" t="str">
        <f>IF(AND(ISNUMBER(N262),ISNUMBER(I262)),ROUND(I262-N262,2),"")</f>
        <v/>
      </c>
      <c r="P262" s="9" t="str">
        <f>IF(ISNUMBER(O262),IF(AND(ISNUMBER($G$5),ABS(O262)&gt;$G$5),"Revisa el descuadre",IF(AND(ISNUMBER(J262),ISNUMBER(E262)),IF(ROUND(J262-E262,2)&lt;&gt;0,"El datáfono no cuadra con la tarjeta",""),"")),IF(AND(ISNUMBER(J262),ISNUMBER(E262)),IF(ROUND(J262-E262,2)&lt;&gt;0,"El datáfono no cuadra con la tarjeta",""),""))</f>
        <v/>
      </c>
      <c r="Q262" s="4" t="n"/>
    </row>
    <row r="263">
      <c r="A263" s="7" t="n"/>
      <c r="B263" t="str">
        <f>IF(ISNUMBER(A263),CHOOSE(WEEKDAY(A263,2),"lunes","martes","miércoles","jueves","viernes","sábado","domingo"),"")</f>
        <v/>
      </c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  <c r="L263" s="8" t="str">
        <f>IF(AND(ISNUMBER(A263),COUNT(D263:F263)&gt;0),N(D263)+N(E263)+N(F263),"")</f>
        <v/>
      </c>
      <c r="M263" s="8" t="str">
        <f>IF(AND(ISNUMBER(L263),ISNUMBER($C$5),$C$5&gt;=0),ROUND(L263/(1+$C$5/100),2),"")</f>
        <v/>
      </c>
      <c r="N263" s="8" t="str">
        <f>IF(AND(ISNUMBER(A263),COUNT(C263:D263)&gt;0),N(C263)+N(D263)-N(G263)-N(H263),"")</f>
        <v/>
      </c>
      <c r="O263" s="8" t="str">
        <f>IF(AND(ISNUMBER(N263),ISNUMBER(I263)),ROUND(I263-N263,2),"")</f>
        <v/>
      </c>
      <c r="P263" s="9" t="str">
        <f>IF(ISNUMBER(O263),IF(AND(ISNUMBER($G$5),ABS(O263)&gt;$G$5),"Revisa el descuadre",IF(AND(ISNUMBER(J263),ISNUMBER(E263)),IF(ROUND(J263-E263,2)&lt;&gt;0,"El datáfono no cuadra con la tarjeta",""),"")),IF(AND(ISNUMBER(J263),ISNUMBER(E263)),IF(ROUND(J263-E263,2)&lt;&gt;0,"El datáfono no cuadra con la tarjeta",""),""))</f>
        <v/>
      </c>
      <c r="Q263" s="4" t="n"/>
    </row>
    <row r="264">
      <c r="A264" s="7" t="n"/>
      <c r="B264" t="str">
        <f>IF(ISNUMBER(A264),CHOOSE(WEEKDAY(A264,2),"lunes","martes","miércoles","jueves","viernes","sábado","domingo"),"")</f>
        <v/>
      </c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  <c r="L264" s="8" t="str">
        <f>IF(AND(ISNUMBER(A264),COUNT(D264:F264)&gt;0),N(D264)+N(E264)+N(F264),"")</f>
        <v/>
      </c>
      <c r="M264" s="8" t="str">
        <f>IF(AND(ISNUMBER(L264),ISNUMBER($C$5),$C$5&gt;=0),ROUND(L264/(1+$C$5/100),2),"")</f>
        <v/>
      </c>
      <c r="N264" s="8" t="str">
        <f>IF(AND(ISNUMBER(A264),COUNT(C264:D264)&gt;0),N(C264)+N(D264)-N(G264)-N(H264),"")</f>
        <v/>
      </c>
      <c r="O264" s="8" t="str">
        <f>IF(AND(ISNUMBER(N264),ISNUMBER(I264)),ROUND(I264-N264,2),"")</f>
        <v/>
      </c>
      <c r="P264" s="9" t="str">
        <f>IF(ISNUMBER(O264),IF(AND(ISNUMBER($G$5),ABS(O264)&gt;$G$5),"Revisa el descuadre",IF(AND(ISNUMBER(J264),ISNUMBER(E264)),IF(ROUND(J264-E264,2)&lt;&gt;0,"El datáfono no cuadra con la tarjeta",""),"")),IF(AND(ISNUMBER(J264),ISNUMBER(E264)),IF(ROUND(J264-E264,2)&lt;&gt;0,"El datáfono no cuadra con la tarjeta",""),""))</f>
        <v/>
      </c>
      <c r="Q264" s="4" t="n"/>
    </row>
    <row r="265">
      <c r="A265" s="7" t="n"/>
      <c r="B265" t="str">
        <f>IF(ISNUMBER(A265),CHOOSE(WEEKDAY(A265,2),"lunes","martes","miércoles","jueves","viernes","sábado","domingo"),"")</f>
        <v/>
      </c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  <c r="L265" s="8" t="str">
        <f>IF(AND(ISNUMBER(A265),COUNT(D265:F265)&gt;0),N(D265)+N(E265)+N(F265),"")</f>
        <v/>
      </c>
      <c r="M265" s="8" t="str">
        <f>IF(AND(ISNUMBER(L265),ISNUMBER($C$5),$C$5&gt;=0),ROUND(L265/(1+$C$5/100),2),"")</f>
        <v/>
      </c>
      <c r="N265" s="8" t="str">
        <f>IF(AND(ISNUMBER(A265),COUNT(C265:D265)&gt;0),N(C265)+N(D265)-N(G265)-N(H265),"")</f>
        <v/>
      </c>
      <c r="O265" s="8" t="str">
        <f>IF(AND(ISNUMBER(N265),ISNUMBER(I265)),ROUND(I265-N265,2),"")</f>
        <v/>
      </c>
      <c r="P265" s="9" t="str">
        <f>IF(ISNUMBER(O265),IF(AND(ISNUMBER($G$5),ABS(O265)&gt;$G$5),"Revisa el descuadre",IF(AND(ISNUMBER(J265),ISNUMBER(E265)),IF(ROUND(J265-E265,2)&lt;&gt;0,"El datáfono no cuadra con la tarjeta",""),"")),IF(AND(ISNUMBER(J265),ISNUMBER(E265)),IF(ROUND(J265-E265,2)&lt;&gt;0,"El datáfono no cuadra con la tarjeta",""),""))</f>
        <v/>
      </c>
      <c r="Q265" s="4" t="n"/>
    </row>
    <row r="266">
      <c r="A266" s="7" t="n"/>
      <c r="B266" t="str">
        <f>IF(ISNUMBER(A266),CHOOSE(WEEKDAY(A266,2),"lunes","martes","miércoles","jueves","viernes","sábado","domingo"),"")</f>
        <v/>
      </c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  <c r="L266" s="8" t="str">
        <f>IF(AND(ISNUMBER(A266),COUNT(D266:F266)&gt;0),N(D266)+N(E266)+N(F266),"")</f>
        <v/>
      </c>
      <c r="M266" s="8" t="str">
        <f>IF(AND(ISNUMBER(L266),ISNUMBER($C$5),$C$5&gt;=0),ROUND(L266/(1+$C$5/100),2),"")</f>
        <v/>
      </c>
      <c r="N266" s="8" t="str">
        <f>IF(AND(ISNUMBER(A266),COUNT(C266:D266)&gt;0),N(C266)+N(D266)-N(G266)-N(H266),"")</f>
        <v/>
      </c>
      <c r="O266" s="8" t="str">
        <f>IF(AND(ISNUMBER(N266),ISNUMBER(I266)),ROUND(I266-N266,2),"")</f>
        <v/>
      </c>
      <c r="P266" s="9" t="str">
        <f>IF(ISNUMBER(O266),IF(AND(ISNUMBER($G$5),ABS(O266)&gt;$G$5),"Revisa el descuadre",IF(AND(ISNUMBER(J266),ISNUMBER(E266)),IF(ROUND(J266-E266,2)&lt;&gt;0,"El datáfono no cuadra con la tarjeta",""),"")),IF(AND(ISNUMBER(J266),ISNUMBER(E266)),IF(ROUND(J266-E266,2)&lt;&gt;0,"El datáfono no cuadra con la tarjeta",""),""))</f>
        <v/>
      </c>
      <c r="Q266" s="4" t="n"/>
    </row>
    <row r="267">
      <c r="A267" s="7" t="n"/>
      <c r="B267" t="str">
        <f>IF(ISNUMBER(A267),CHOOSE(WEEKDAY(A267,2),"lunes","martes","miércoles","jueves","viernes","sábado","domingo"),"")</f>
        <v/>
      </c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  <c r="L267" s="8" t="str">
        <f>IF(AND(ISNUMBER(A267),COUNT(D267:F267)&gt;0),N(D267)+N(E267)+N(F267),"")</f>
        <v/>
      </c>
      <c r="M267" s="8" t="str">
        <f>IF(AND(ISNUMBER(L267),ISNUMBER($C$5),$C$5&gt;=0),ROUND(L267/(1+$C$5/100),2),"")</f>
        <v/>
      </c>
      <c r="N267" s="8" t="str">
        <f>IF(AND(ISNUMBER(A267),COUNT(C267:D267)&gt;0),N(C267)+N(D267)-N(G267)-N(H267),"")</f>
        <v/>
      </c>
      <c r="O267" s="8" t="str">
        <f>IF(AND(ISNUMBER(N267),ISNUMBER(I267)),ROUND(I267-N267,2),"")</f>
        <v/>
      </c>
      <c r="P267" s="9" t="str">
        <f>IF(ISNUMBER(O267),IF(AND(ISNUMBER($G$5),ABS(O267)&gt;$G$5),"Revisa el descuadre",IF(AND(ISNUMBER(J267),ISNUMBER(E267)),IF(ROUND(J267-E267,2)&lt;&gt;0,"El datáfono no cuadra con la tarjeta",""),"")),IF(AND(ISNUMBER(J267),ISNUMBER(E267)),IF(ROUND(J267-E267,2)&lt;&gt;0,"El datáfono no cuadra con la tarjeta",""),""))</f>
        <v/>
      </c>
      <c r="Q267" s="4" t="n"/>
    </row>
    <row r="268">
      <c r="A268" s="7" t="n"/>
      <c r="B268" t="str">
        <f>IF(ISNUMBER(A268),CHOOSE(WEEKDAY(A268,2),"lunes","martes","miércoles","jueves","viernes","sábado","domingo"),"")</f>
        <v/>
      </c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  <c r="L268" s="8" t="str">
        <f>IF(AND(ISNUMBER(A268),COUNT(D268:F268)&gt;0),N(D268)+N(E268)+N(F268),"")</f>
        <v/>
      </c>
      <c r="M268" s="8" t="str">
        <f>IF(AND(ISNUMBER(L268),ISNUMBER($C$5),$C$5&gt;=0),ROUND(L268/(1+$C$5/100),2),"")</f>
        <v/>
      </c>
      <c r="N268" s="8" t="str">
        <f>IF(AND(ISNUMBER(A268),COUNT(C268:D268)&gt;0),N(C268)+N(D268)-N(G268)-N(H268),"")</f>
        <v/>
      </c>
      <c r="O268" s="8" t="str">
        <f>IF(AND(ISNUMBER(N268),ISNUMBER(I268)),ROUND(I268-N268,2),"")</f>
        <v/>
      </c>
      <c r="P268" s="9" t="str">
        <f>IF(ISNUMBER(O268),IF(AND(ISNUMBER($G$5),ABS(O268)&gt;$G$5),"Revisa el descuadre",IF(AND(ISNUMBER(J268),ISNUMBER(E268)),IF(ROUND(J268-E268,2)&lt;&gt;0,"El datáfono no cuadra con la tarjeta",""),"")),IF(AND(ISNUMBER(J268),ISNUMBER(E268)),IF(ROUND(J268-E268,2)&lt;&gt;0,"El datáfono no cuadra con la tarjeta",""),""))</f>
        <v/>
      </c>
      <c r="Q268" s="4" t="n"/>
    </row>
    <row r="269">
      <c r="A269" s="7" t="n"/>
      <c r="B269" t="str">
        <f>IF(ISNUMBER(A269),CHOOSE(WEEKDAY(A269,2),"lunes","martes","miércoles","jueves","viernes","sábado","domingo"),"")</f>
        <v/>
      </c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  <c r="L269" s="8" t="str">
        <f>IF(AND(ISNUMBER(A269),COUNT(D269:F269)&gt;0),N(D269)+N(E269)+N(F269),"")</f>
        <v/>
      </c>
      <c r="M269" s="8" t="str">
        <f>IF(AND(ISNUMBER(L269),ISNUMBER($C$5),$C$5&gt;=0),ROUND(L269/(1+$C$5/100),2),"")</f>
        <v/>
      </c>
      <c r="N269" s="8" t="str">
        <f>IF(AND(ISNUMBER(A269),COUNT(C269:D269)&gt;0),N(C269)+N(D269)-N(G269)-N(H269),"")</f>
        <v/>
      </c>
      <c r="O269" s="8" t="str">
        <f>IF(AND(ISNUMBER(N269),ISNUMBER(I269)),ROUND(I269-N269,2),"")</f>
        <v/>
      </c>
      <c r="P269" s="9" t="str">
        <f>IF(ISNUMBER(O269),IF(AND(ISNUMBER($G$5),ABS(O269)&gt;$G$5),"Revisa el descuadre",IF(AND(ISNUMBER(J269),ISNUMBER(E269)),IF(ROUND(J269-E269,2)&lt;&gt;0,"El datáfono no cuadra con la tarjeta",""),"")),IF(AND(ISNUMBER(J269),ISNUMBER(E269)),IF(ROUND(J269-E269,2)&lt;&gt;0,"El datáfono no cuadra con la tarjeta",""),""))</f>
        <v/>
      </c>
      <c r="Q269" s="4" t="n"/>
    </row>
    <row r="270">
      <c r="A270" s="7" t="n"/>
      <c r="B270" t="str">
        <f>IF(ISNUMBER(A270),CHOOSE(WEEKDAY(A270,2),"lunes","martes","miércoles","jueves","viernes","sábado","domingo"),"")</f>
        <v/>
      </c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  <c r="L270" s="8" t="str">
        <f>IF(AND(ISNUMBER(A270),COUNT(D270:F270)&gt;0),N(D270)+N(E270)+N(F270),"")</f>
        <v/>
      </c>
      <c r="M270" s="8" t="str">
        <f>IF(AND(ISNUMBER(L270),ISNUMBER($C$5),$C$5&gt;=0),ROUND(L270/(1+$C$5/100),2),"")</f>
        <v/>
      </c>
      <c r="N270" s="8" t="str">
        <f>IF(AND(ISNUMBER(A270),COUNT(C270:D270)&gt;0),N(C270)+N(D270)-N(G270)-N(H270),"")</f>
        <v/>
      </c>
      <c r="O270" s="8" t="str">
        <f>IF(AND(ISNUMBER(N270),ISNUMBER(I270)),ROUND(I270-N270,2),"")</f>
        <v/>
      </c>
      <c r="P270" s="9" t="str">
        <f>IF(ISNUMBER(O270),IF(AND(ISNUMBER($G$5),ABS(O270)&gt;$G$5),"Revisa el descuadre",IF(AND(ISNUMBER(J270),ISNUMBER(E270)),IF(ROUND(J270-E270,2)&lt;&gt;0,"El datáfono no cuadra con la tarjeta",""),"")),IF(AND(ISNUMBER(J270),ISNUMBER(E270)),IF(ROUND(J270-E270,2)&lt;&gt;0,"El datáfono no cuadra con la tarjeta",""),""))</f>
        <v/>
      </c>
      <c r="Q270" s="4" t="n"/>
    </row>
    <row r="271">
      <c r="A271" s="7" t="n"/>
      <c r="B271" t="str">
        <f>IF(ISNUMBER(A271),CHOOSE(WEEKDAY(A271,2),"lunes","martes","miércoles","jueves","viernes","sábado","domingo"),"")</f>
        <v/>
      </c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  <c r="L271" s="8" t="str">
        <f>IF(AND(ISNUMBER(A271),COUNT(D271:F271)&gt;0),N(D271)+N(E271)+N(F271),"")</f>
        <v/>
      </c>
      <c r="M271" s="8" t="str">
        <f>IF(AND(ISNUMBER(L271),ISNUMBER($C$5),$C$5&gt;=0),ROUND(L271/(1+$C$5/100),2),"")</f>
        <v/>
      </c>
      <c r="N271" s="8" t="str">
        <f>IF(AND(ISNUMBER(A271),COUNT(C271:D271)&gt;0),N(C271)+N(D271)-N(G271)-N(H271),"")</f>
        <v/>
      </c>
      <c r="O271" s="8" t="str">
        <f>IF(AND(ISNUMBER(N271),ISNUMBER(I271)),ROUND(I271-N271,2),"")</f>
        <v/>
      </c>
      <c r="P271" s="9" t="str">
        <f>IF(ISNUMBER(O271),IF(AND(ISNUMBER($G$5),ABS(O271)&gt;$G$5),"Revisa el descuadre",IF(AND(ISNUMBER(J271),ISNUMBER(E271)),IF(ROUND(J271-E271,2)&lt;&gt;0,"El datáfono no cuadra con la tarjeta",""),"")),IF(AND(ISNUMBER(J271),ISNUMBER(E271)),IF(ROUND(J271-E271,2)&lt;&gt;0,"El datáfono no cuadra con la tarjeta",""),""))</f>
        <v/>
      </c>
      <c r="Q271" s="4" t="n"/>
    </row>
    <row r="272">
      <c r="A272" s="7" t="n"/>
      <c r="B272" t="str">
        <f>IF(ISNUMBER(A272),CHOOSE(WEEKDAY(A272,2),"lunes","martes","miércoles","jueves","viernes","sábado","domingo"),"")</f>
        <v/>
      </c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  <c r="L272" s="8" t="str">
        <f>IF(AND(ISNUMBER(A272),COUNT(D272:F272)&gt;0),N(D272)+N(E272)+N(F272),"")</f>
        <v/>
      </c>
      <c r="M272" s="8" t="str">
        <f>IF(AND(ISNUMBER(L272),ISNUMBER($C$5),$C$5&gt;=0),ROUND(L272/(1+$C$5/100),2),"")</f>
        <v/>
      </c>
      <c r="N272" s="8" t="str">
        <f>IF(AND(ISNUMBER(A272),COUNT(C272:D272)&gt;0),N(C272)+N(D272)-N(G272)-N(H272),"")</f>
        <v/>
      </c>
      <c r="O272" s="8" t="str">
        <f>IF(AND(ISNUMBER(N272),ISNUMBER(I272)),ROUND(I272-N272,2),"")</f>
        <v/>
      </c>
      <c r="P272" s="9" t="str">
        <f>IF(ISNUMBER(O272),IF(AND(ISNUMBER($G$5),ABS(O272)&gt;$G$5),"Revisa el descuadre",IF(AND(ISNUMBER(J272),ISNUMBER(E272)),IF(ROUND(J272-E272,2)&lt;&gt;0,"El datáfono no cuadra con la tarjeta",""),"")),IF(AND(ISNUMBER(J272),ISNUMBER(E272)),IF(ROUND(J272-E272,2)&lt;&gt;0,"El datáfono no cuadra con la tarjeta",""),""))</f>
        <v/>
      </c>
      <c r="Q272" s="4" t="n"/>
    </row>
    <row r="273">
      <c r="A273" s="7" t="n"/>
      <c r="B273" t="str">
        <f>IF(ISNUMBER(A273),CHOOSE(WEEKDAY(A273,2),"lunes","martes","miércoles","jueves","viernes","sábado","domingo"),"")</f>
        <v/>
      </c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  <c r="L273" s="8" t="str">
        <f>IF(AND(ISNUMBER(A273),COUNT(D273:F273)&gt;0),N(D273)+N(E273)+N(F273),"")</f>
        <v/>
      </c>
      <c r="M273" s="8" t="str">
        <f>IF(AND(ISNUMBER(L273),ISNUMBER($C$5),$C$5&gt;=0),ROUND(L273/(1+$C$5/100),2),"")</f>
        <v/>
      </c>
      <c r="N273" s="8" t="str">
        <f>IF(AND(ISNUMBER(A273),COUNT(C273:D273)&gt;0),N(C273)+N(D273)-N(G273)-N(H273),"")</f>
        <v/>
      </c>
      <c r="O273" s="8" t="str">
        <f>IF(AND(ISNUMBER(N273),ISNUMBER(I273)),ROUND(I273-N273,2),"")</f>
        <v/>
      </c>
      <c r="P273" s="9" t="str">
        <f>IF(ISNUMBER(O273),IF(AND(ISNUMBER($G$5),ABS(O273)&gt;$G$5),"Revisa el descuadre",IF(AND(ISNUMBER(J273),ISNUMBER(E273)),IF(ROUND(J273-E273,2)&lt;&gt;0,"El datáfono no cuadra con la tarjeta",""),"")),IF(AND(ISNUMBER(J273),ISNUMBER(E273)),IF(ROUND(J273-E273,2)&lt;&gt;0,"El datáfono no cuadra con la tarjeta",""),""))</f>
        <v/>
      </c>
      <c r="Q273" s="4" t="n"/>
    </row>
    <row r="274">
      <c r="A274" s="7" t="n"/>
      <c r="B274" t="str">
        <f>IF(ISNUMBER(A274),CHOOSE(WEEKDAY(A274,2),"lunes","martes","miércoles","jueves","viernes","sábado","domingo"),"")</f>
        <v/>
      </c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  <c r="L274" s="8" t="str">
        <f>IF(AND(ISNUMBER(A274),COUNT(D274:F274)&gt;0),N(D274)+N(E274)+N(F274),"")</f>
        <v/>
      </c>
      <c r="M274" s="8" t="str">
        <f>IF(AND(ISNUMBER(L274),ISNUMBER($C$5),$C$5&gt;=0),ROUND(L274/(1+$C$5/100),2),"")</f>
        <v/>
      </c>
      <c r="N274" s="8" t="str">
        <f>IF(AND(ISNUMBER(A274),COUNT(C274:D274)&gt;0),N(C274)+N(D274)-N(G274)-N(H274),"")</f>
        <v/>
      </c>
      <c r="O274" s="8" t="str">
        <f>IF(AND(ISNUMBER(N274),ISNUMBER(I274)),ROUND(I274-N274,2),"")</f>
        <v/>
      </c>
      <c r="P274" s="9" t="str">
        <f>IF(ISNUMBER(O274),IF(AND(ISNUMBER($G$5),ABS(O274)&gt;$G$5),"Revisa el descuadre",IF(AND(ISNUMBER(J274),ISNUMBER(E274)),IF(ROUND(J274-E274,2)&lt;&gt;0,"El datáfono no cuadra con la tarjeta",""),"")),IF(AND(ISNUMBER(J274),ISNUMBER(E274)),IF(ROUND(J274-E274,2)&lt;&gt;0,"El datáfono no cuadra con la tarjeta",""),""))</f>
        <v/>
      </c>
      <c r="Q274" s="4" t="n"/>
    </row>
    <row r="275">
      <c r="A275" s="7" t="n"/>
      <c r="B275" t="str">
        <f>IF(ISNUMBER(A275),CHOOSE(WEEKDAY(A275,2),"lunes","martes","miércoles","jueves","viernes","sábado","domingo"),"")</f>
        <v/>
      </c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  <c r="L275" s="8" t="str">
        <f>IF(AND(ISNUMBER(A275),COUNT(D275:F275)&gt;0),N(D275)+N(E275)+N(F275),"")</f>
        <v/>
      </c>
      <c r="M275" s="8" t="str">
        <f>IF(AND(ISNUMBER(L275),ISNUMBER($C$5),$C$5&gt;=0),ROUND(L275/(1+$C$5/100),2),"")</f>
        <v/>
      </c>
      <c r="N275" s="8" t="str">
        <f>IF(AND(ISNUMBER(A275),COUNT(C275:D275)&gt;0),N(C275)+N(D275)-N(G275)-N(H275),"")</f>
        <v/>
      </c>
      <c r="O275" s="8" t="str">
        <f>IF(AND(ISNUMBER(N275),ISNUMBER(I275)),ROUND(I275-N275,2),"")</f>
        <v/>
      </c>
      <c r="P275" s="9" t="str">
        <f>IF(ISNUMBER(O275),IF(AND(ISNUMBER($G$5),ABS(O275)&gt;$G$5),"Revisa el descuadre",IF(AND(ISNUMBER(J275),ISNUMBER(E275)),IF(ROUND(J275-E275,2)&lt;&gt;0,"El datáfono no cuadra con la tarjeta",""),"")),IF(AND(ISNUMBER(J275),ISNUMBER(E275)),IF(ROUND(J275-E275,2)&lt;&gt;0,"El datáfono no cuadra con la tarjeta",""),""))</f>
        <v/>
      </c>
      <c r="Q275" s="4" t="n"/>
    </row>
    <row r="276">
      <c r="A276" s="7" t="n"/>
      <c r="B276" t="str">
        <f>IF(ISNUMBER(A276),CHOOSE(WEEKDAY(A276,2),"lunes","martes","miércoles","jueves","viernes","sábado","domingo"),"")</f>
        <v/>
      </c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  <c r="L276" s="8" t="str">
        <f>IF(AND(ISNUMBER(A276),COUNT(D276:F276)&gt;0),N(D276)+N(E276)+N(F276),"")</f>
        <v/>
      </c>
      <c r="M276" s="8" t="str">
        <f>IF(AND(ISNUMBER(L276),ISNUMBER($C$5),$C$5&gt;=0),ROUND(L276/(1+$C$5/100),2),"")</f>
        <v/>
      </c>
      <c r="N276" s="8" t="str">
        <f>IF(AND(ISNUMBER(A276),COUNT(C276:D276)&gt;0),N(C276)+N(D276)-N(G276)-N(H276),"")</f>
        <v/>
      </c>
      <c r="O276" s="8" t="str">
        <f>IF(AND(ISNUMBER(N276),ISNUMBER(I276)),ROUND(I276-N276,2),"")</f>
        <v/>
      </c>
      <c r="P276" s="9" t="str">
        <f>IF(ISNUMBER(O276),IF(AND(ISNUMBER($G$5),ABS(O276)&gt;$G$5),"Revisa el descuadre",IF(AND(ISNUMBER(J276),ISNUMBER(E276)),IF(ROUND(J276-E276,2)&lt;&gt;0,"El datáfono no cuadra con la tarjeta",""),"")),IF(AND(ISNUMBER(J276),ISNUMBER(E276)),IF(ROUND(J276-E276,2)&lt;&gt;0,"El datáfono no cuadra con la tarjeta",""),""))</f>
        <v/>
      </c>
      <c r="Q276" s="4" t="n"/>
    </row>
    <row r="277">
      <c r="A277" s="7" t="n"/>
      <c r="B277" t="str">
        <f>IF(ISNUMBER(A277),CHOOSE(WEEKDAY(A277,2),"lunes","martes","miércoles","jueves","viernes","sábado","domingo"),"")</f>
        <v/>
      </c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  <c r="L277" s="8" t="str">
        <f>IF(AND(ISNUMBER(A277),COUNT(D277:F277)&gt;0),N(D277)+N(E277)+N(F277),"")</f>
        <v/>
      </c>
      <c r="M277" s="8" t="str">
        <f>IF(AND(ISNUMBER(L277),ISNUMBER($C$5),$C$5&gt;=0),ROUND(L277/(1+$C$5/100),2),"")</f>
        <v/>
      </c>
      <c r="N277" s="8" t="str">
        <f>IF(AND(ISNUMBER(A277),COUNT(C277:D277)&gt;0),N(C277)+N(D277)-N(G277)-N(H277),"")</f>
        <v/>
      </c>
      <c r="O277" s="8" t="str">
        <f>IF(AND(ISNUMBER(N277),ISNUMBER(I277)),ROUND(I277-N277,2),"")</f>
        <v/>
      </c>
      <c r="P277" s="9" t="str">
        <f>IF(ISNUMBER(O277),IF(AND(ISNUMBER($G$5),ABS(O277)&gt;$G$5),"Revisa el descuadre",IF(AND(ISNUMBER(J277),ISNUMBER(E277)),IF(ROUND(J277-E277,2)&lt;&gt;0,"El datáfono no cuadra con la tarjeta",""),"")),IF(AND(ISNUMBER(J277),ISNUMBER(E277)),IF(ROUND(J277-E277,2)&lt;&gt;0,"El datáfono no cuadra con la tarjeta",""),""))</f>
        <v/>
      </c>
      <c r="Q277" s="4" t="n"/>
    </row>
    <row r="278">
      <c r="A278" s="7" t="n"/>
      <c r="B278" t="str">
        <f>IF(ISNUMBER(A278),CHOOSE(WEEKDAY(A278,2),"lunes","martes","miércoles","jueves","viernes","sábado","domingo"),"")</f>
        <v/>
      </c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  <c r="L278" s="8" t="str">
        <f>IF(AND(ISNUMBER(A278),COUNT(D278:F278)&gt;0),N(D278)+N(E278)+N(F278),"")</f>
        <v/>
      </c>
      <c r="M278" s="8" t="str">
        <f>IF(AND(ISNUMBER(L278),ISNUMBER($C$5),$C$5&gt;=0),ROUND(L278/(1+$C$5/100),2),"")</f>
        <v/>
      </c>
      <c r="N278" s="8" t="str">
        <f>IF(AND(ISNUMBER(A278),COUNT(C278:D278)&gt;0),N(C278)+N(D278)-N(G278)-N(H278),"")</f>
        <v/>
      </c>
      <c r="O278" s="8" t="str">
        <f>IF(AND(ISNUMBER(N278),ISNUMBER(I278)),ROUND(I278-N278,2),"")</f>
        <v/>
      </c>
      <c r="P278" s="9" t="str">
        <f>IF(ISNUMBER(O278),IF(AND(ISNUMBER($G$5),ABS(O278)&gt;$G$5),"Revisa el descuadre",IF(AND(ISNUMBER(J278),ISNUMBER(E278)),IF(ROUND(J278-E278,2)&lt;&gt;0,"El datáfono no cuadra con la tarjeta",""),"")),IF(AND(ISNUMBER(J278),ISNUMBER(E278)),IF(ROUND(J278-E278,2)&lt;&gt;0,"El datáfono no cuadra con la tarjeta",""),""))</f>
        <v/>
      </c>
      <c r="Q278" s="4" t="n"/>
    </row>
    <row r="279">
      <c r="A279" s="7" t="n"/>
      <c r="B279" t="str">
        <f>IF(ISNUMBER(A279),CHOOSE(WEEKDAY(A279,2),"lunes","martes","miércoles","jueves","viernes","sábado","domingo"),"")</f>
        <v/>
      </c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  <c r="L279" s="8" t="str">
        <f>IF(AND(ISNUMBER(A279),COUNT(D279:F279)&gt;0),N(D279)+N(E279)+N(F279),"")</f>
        <v/>
      </c>
      <c r="M279" s="8" t="str">
        <f>IF(AND(ISNUMBER(L279),ISNUMBER($C$5),$C$5&gt;=0),ROUND(L279/(1+$C$5/100),2),"")</f>
        <v/>
      </c>
      <c r="N279" s="8" t="str">
        <f>IF(AND(ISNUMBER(A279),COUNT(C279:D279)&gt;0),N(C279)+N(D279)-N(G279)-N(H279),"")</f>
        <v/>
      </c>
      <c r="O279" s="8" t="str">
        <f>IF(AND(ISNUMBER(N279),ISNUMBER(I279)),ROUND(I279-N279,2),"")</f>
        <v/>
      </c>
      <c r="P279" s="9" t="str">
        <f>IF(ISNUMBER(O279),IF(AND(ISNUMBER($G$5),ABS(O279)&gt;$G$5),"Revisa el descuadre",IF(AND(ISNUMBER(J279),ISNUMBER(E279)),IF(ROUND(J279-E279,2)&lt;&gt;0,"El datáfono no cuadra con la tarjeta",""),"")),IF(AND(ISNUMBER(J279),ISNUMBER(E279)),IF(ROUND(J279-E279,2)&lt;&gt;0,"El datáfono no cuadra con la tarjeta",""),""))</f>
        <v/>
      </c>
      <c r="Q279" s="4" t="n"/>
    </row>
    <row r="280">
      <c r="A280" s="7" t="n"/>
      <c r="B280" t="str">
        <f>IF(ISNUMBER(A280),CHOOSE(WEEKDAY(A280,2),"lunes","martes","miércoles","jueves","viernes","sábado","domingo"),"")</f>
        <v/>
      </c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  <c r="L280" s="8" t="str">
        <f>IF(AND(ISNUMBER(A280),COUNT(D280:F280)&gt;0),N(D280)+N(E280)+N(F280),"")</f>
        <v/>
      </c>
      <c r="M280" s="8" t="str">
        <f>IF(AND(ISNUMBER(L280),ISNUMBER($C$5),$C$5&gt;=0),ROUND(L280/(1+$C$5/100),2),"")</f>
        <v/>
      </c>
      <c r="N280" s="8" t="str">
        <f>IF(AND(ISNUMBER(A280),COUNT(C280:D280)&gt;0),N(C280)+N(D280)-N(G280)-N(H280),"")</f>
        <v/>
      </c>
      <c r="O280" s="8" t="str">
        <f>IF(AND(ISNUMBER(N280),ISNUMBER(I280)),ROUND(I280-N280,2),"")</f>
        <v/>
      </c>
      <c r="P280" s="9" t="str">
        <f>IF(ISNUMBER(O280),IF(AND(ISNUMBER($G$5),ABS(O280)&gt;$G$5),"Revisa el descuadre",IF(AND(ISNUMBER(J280),ISNUMBER(E280)),IF(ROUND(J280-E280,2)&lt;&gt;0,"El datáfono no cuadra con la tarjeta",""),"")),IF(AND(ISNUMBER(J280),ISNUMBER(E280)),IF(ROUND(J280-E280,2)&lt;&gt;0,"El datáfono no cuadra con la tarjeta",""),""))</f>
        <v/>
      </c>
      <c r="Q280" s="4" t="n"/>
    </row>
    <row r="281">
      <c r="A281" s="7" t="n"/>
      <c r="B281" t="str">
        <f>IF(ISNUMBER(A281),CHOOSE(WEEKDAY(A281,2),"lunes","martes","miércoles","jueves","viernes","sábado","domingo"),"")</f>
        <v/>
      </c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  <c r="L281" s="8" t="str">
        <f>IF(AND(ISNUMBER(A281),COUNT(D281:F281)&gt;0),N(D281)+N(E281)+N(F281),"")</f>
        <v/>
      </c>
      <c r="M281" s="8" t="str">
        <f>IF(AND(ISNUMBER(L281),ISNUMBER($C$5),$C$5&gt;=0),ROUND(L281/(1+$C$5/100),2),"")</f>
        <v/>
      </c>
      <c r="N281" s="8" t="str">
        <f>IF(AND(ISNUMBER(A281),COUNT(C281:D281)&gt;0),N(C281)+N(D281)-N(G281)-N(H281),"")</f>
        <v/>
      </c>
      <c r="O281" s="8" t="str">
        <f>IF(AND(ISNUMBER(N281),ISNUMBER(I281)),ROUND(I281-N281,2),"")</f>
        <v/>
      </c>
      <c r="P281" s="9" t="str">
        <f>IF(ISNUMBER(O281),IF(AND(ISNUMBER($G$5),ABS(O281)&gt;$G$5),"Revisa el descuadre",IF(AND(ISNUMBER(J281),ISNUMBER(E281)),IF(ROUND(J281-E281,2)&lt;&gt;0,"El datáfono no cuadra con la tarjeta",""),"")),IF(AND(ISNUMBER(J281),ISNUMBER(E281)),IF(ROUND(J281-E281,2)&lt;&gt;0,"El datáfono no cuadra con la tarjeta",""),""))</f>
        <v/>
      </c>
      <c r="Q281" s="4" t="n"/>
    </row>
    <row r="282">
      <c r="A282" s="7" t="n"/>
      <c r="B282" t="str">
        <f>IF(ISNUMBER(A282),CHOOSE(WEEKDAY(A282,2),"lunes","martes","miércoles","jueves","viernes","sábado","domingo"),"")</f>
        <v/>
      </c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  <c r="L282" s="8" t="str">
        <f>IF(AND(ISNUMBER(A282),COUNT(D282:F282)&gt;0),N(D282)+N(E282)+N(F282),"")</f>
        <v/>
      </c>
      <c r="M282" s="8" t="str">
        <f>IF(AND(ISNUMBER(L282),ISNUMBER($C$5),$C$5&gt;=0),ROUND(L282/(1+$C$5/100),2),"")</f>
        <v/>
      </c>
      <c r="N282" s="8" t="str">
        <f>IF(AND(ISNUMBER(A282),COUNT(C282:D282)&gt;0),N(C282)+N(D282)-N(G282)-N(H282),"")</f>
        <v/>
      </c>
      <c r="O282" s="8" t="str">
        <f>IF(AND(ISNUMBER(N282),ISNUMBER(I282)),ROUND(I282-N282,2),"")</f>
        <v/>
      </c>
      <c r="P282" s="9" t="str">
        <f>IF(ISNUMBER(O282),IF(AND(ISNUMBER($G$5),ABS(O282)&gt;$G$5),"Revisa el descuadre",IF(AND(ISNUMBER(J282),ISNUMBER(E282)),IF(ROUND(J282-E282,2)&lt;&gt;0,"El datáfono no cuadra con la tarjeta",""),"")),IF(AND(ISNUMBER(J282),ISNUMBER(E282)),IF(ROUND(J282-E282,2)&lt;&gt;0,"El datáfono no cuadra con la tarjeta",""),""))</f>
        <v/>
      </c>
      <c r="Q282" s="4" t="n"/>
    </row>
    <row r="283">
      <c r="A283" s="7" t="n"/>
      <c r="B283" t="str">
        <f>IF(ISNUMBER(A283),CHOOSE(WEEKDAY(A283,2),"lunes","martes","miércoles","jueves","viernes","sábado","domingo"),"")</f>
        <v/>
      </c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  <c r="L283" s="8" t="str">
        <f>IF(AND(ISNUMBER(A283),COUNT(D283:F283)&gt;0),N(D283)+N(E283)+N(F283),"")</f>
        <v/>
      </c>
      <c r="M283" s="8" t="str">
        <f>IF(AND(ISNUMBER(L283),ISNUMBER($C$5),$C$5&gt;=0),ROUND(L283/(1+$C$5/100),2),"")</f>
        <v/>
      </c>
      <c r="N283" s="8" t="str">
        <f>IF(AND(ISNUMBER(A283),COUNT(C283:D283)&gt;0),N(C283)+N(D283)-N(G283)-N(H283),"")</f>
        <v/>
      </c>
      <c r="O283" s="8" t="str">
        <f>IF(AND(ISNUMBER(N283),ISNUMBER(I283)),ROUND(I283-N283,2),"")</f>
        <v/>
      </c>
      <c r="P283" s="9" t="str">
        <f>IF(ISNUMBER(O283),IF(AND(ISNUMBER($G$5),ABS(O283)&gt;$G$5),"Revisa el descuadre",IF(AND(ISNUMBER(J283),ISNUMBER(E283)),IF(ROUND(J283-E283,2)&lt;&gt;0,"El datáfono no cuadra con la tarjeta",""),"")),IF(AND(ISNUMBER(J283),ISNUMBER(E283)),IF(ROUND(J283-E283,2)&lt;&gt;0,"El datáfono no cuadra con la tarjeta",""),""))</f>
        <v/>
      </c>
      <c r="Q283" s="4" t="n"/>
    </row>
    <row r="284">
      <c r="A284" s="7" t="n"/>
      <c r="B284" t="str">
        <f>IF(ISNUMBER(A284),CHOOSE(WEEKDAY(A284,2),"lunes","martes","miércoles","jueves","viernes","sábado","domingo"),"")</f>
        <v/>
      </c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  <c r="L284" s="8" t="str">
        <f>IF(AND(ISNUMBER(A284),COUNT(D284:F284)&gt;0),N(D284)+N(E284)+N(F284),"")</f>
        <v/>
      </c>
      <c r="M284" s="8" t="str">
        <f>IF(AND(ISNUMBER(L284),ISNUMBER($C$5),$C$5&gt;=0),ROUND(L284/(1+$C$5/100),2),"")</f>
        <v/>
      </c>
      <c r="N284" s="8" t="str">
        <f>IF(AND(ISNUMBER(A284),COUNT(C284:D284)&gt;0),N(C284)+N(D284)-N(G284)-N(H284),"")</f>
        <v/>
      </c>
      <c r="O284" s="8" t="str">
        <f>IF(AND(ISNUMBER(N284),ISNUMBER(I284)),ROUND(I284-N284,2),"")</f>
        <v/>
      </c>
      <c r="P284" s="9" t="str">
        <f>IF(ISNUMBER(O284),IF(AND(ISNUMBER($G$5),ABS(O284)&gt;$G$5),"Revisa el descuadre",IF(AND(ISNUMBER(J284),ISNUMBER(E284)),IF(ROUND(J284-E284,2)&lt;&gt;0,"El datáfono no cuadra con la tarjeta",""),"")),IF(AND(ISNUMBER(J284),ISNUMBER(E284)),IF(ROUND(J284-E284,2)&lt;&gt;0,"El datáfono no cuadra con la tarjeta",""),""))</f>
        <v/>
      </c>
      <c r="Q284" s="4" t="n"/>
    </row>
    <row r="285">
      <c r="A285" s="7" t="n"/>
      <c r="B285" t="str">
        <f>IF(ISNUMBER(A285),CHOOSE(WEEKDAY(A285,2),"lunes","martes","miércoles","jueves","viernes","sábado","domingo"),"")</f>
        <v/>
      </c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  <c r="L285" s="8" t="str">
        <f>IF(AND(ISNUMBER(A285),COUNT(D285:F285)&gt;0),N(D285)+N(E285)+N(F285),"")</f>
        <v/>
      </c>
      <c r="M285" s="8" t="str">
        <f>IF(AND(ISNUMBER(L285),ISNUMBER($C$5),$C$5&gt;=0),ROUND(L285/(1+$C$5/100),2),"")</f>
        <v/>
      </c>
      <c r="N285" s="8" t="str">
        <f>IF(AND(ISNUMBER(A285),COUNT(C285:D285)&gt;0),N(C285)+N(D285)-N(G285)-N(H285),"")</f>
        <v/>
      </c>
      <c r="O285" s="8" t="str">
        <f>IF(AND(ISNUMBER(N285),ISNUMBER(I285)),ROUND(I285-N285,2),"")</f>
        <v/>
      </c>
      <c r="P285" s="9" t="str">
        <f>IF(ISNUMBER(O285),IF(AND(ISNUMBER($G$5),ABS(O285)&gt;$G$5),"Revisa el descuadre",IF(AND(ISNUMBER(J285),ISNUMBER(E285)),IF(ROUND(J285-E285,2)&lt;&gt;0,"El datáfono no cuadra con la tarjeta",""),"")),IF(AND(ISNUMBER(J285),ISNUMBER(E285)),IF(ROUND(J285-E285,2)&lt;&gt;0,"El datáfono no cuadra con la tarjeta",""),""))</f>
        <v/>
      </c>
      <c r="Q285" s="4" t="n"/>
    </row>
    <row r="286">
      <c r="A286" s="7" t="n"/>
      <c r="B286" t="str">
        <f>IF(ISNUMBER(A286),CHOOSE(WEEKDAY(A286,2),"lunes","martes","miércoles","jueves","viernes","sábado","domingo"),"")</f>
        <v/>
      </c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  <c r="L286" s="8" t="str">
        <f>IF(AND(ISNUMBER(A286),COUNT(D286:F286)&gt;0),N(D286)+N(E286)+N(F286),"")</f>
        <v/>
      </c>
      <c r="M286" s="8" t="str">
        <f>IF(AND(ISNUMBER(L286),ISNUMBER($C$5),$C$5&gt;=0),ROUND(L286/(1+$C$5/100),2),"")</f>
        <v/>
      </c>
      <c r="N286" s="8" t="str">
        <f>IF(AND(ISNUMBER(A286),COUNT(C286:D286)&gt;0),N(C286)+N(D286)-N(G286)-N(H286),"")</f>
        <v/>
      </c>
      <c r="O286" s="8" t="str">
        <f>IF(AND(ISNUMBER(N286),ISNUMBER(I286)),ROUND(I286-N286,2),"")</f>
        <v/>
      </c>
      <c r="P286" s="9" t="str">
        <f>IF(ISNUMBER(O286),IF(AND(ISNUMBER($G$5),ABS(O286)&gt;$G$5),"Revisa el descuadre",IF(AND(ISNUMBER(J286),ISNUMBER(E286)),IF(ROUND(J286-E286,2)&lt;&gt;0,"El datáfono no cuadra con la tarjeta",""),"")),IF(AND(ISNUMBER(J286),ISNUMBER(E286)),IF(ROUND(J286-E286,2)&lt;&gt;0,"El datáfono no cuadra con la tarjeta",""),""))</f>
        <v/>
      </c>
      <c r="Q286" s="4" t="n"/>
    </row>
    <row r="287">
      <c r="A287" s="7" t="n"/>
      <c r="B287" t="str">
        <f>IF(ISNUMBER(A287),CHOOSE(WEEKDAY(A287,2),"lunes","martes","miércoles","jueves","viernes","sábado","domingo"),"")</f>
        <v/>
      </c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  <c r="L287" s="8" t="str">
        <f>IF(AND(ISNUMBER(A287),COUNT(D287:F287)&gt;0),N(D287)+N(E287)+N(F287),"")</f>
        <v/>
      </c>
      <c r="M287" s="8" t="str">
        <f>IF(AND(ISNUMBER(L287),ISNUMBER($C$5),$C$5&gt;=0),ROUND(L287/(1+$C$5/100),2),"")</f>
        <v/>
      </c>
      <c r="N287" s="8" t="str">
        <f>IF(AND(ISNUMBER(A287),COUNT(C287:D287)&gt;0),N(C287)+N(D287)-N(G287)-N(H287),"")</f>
        <v/>
      </c>
      <c r="O287" s="8" t="str">
        <f>IF(AND(ISNUMBER(N287),ISNUMBER(I287)),ROUND(I287-N287,2),"")</f>
        <v/>
      </c>
      <c r="P287" s="9" t="str">
        <f>IF(ISNUMBER(O287),IF(AND(ISNUMBER($G$5),ABS(O287)&gt;$G$5),"Revisa el descuadre",IF(AND(ISNUMBER(J287),ISNUMBER(E287)),IF(ROUND(J287-E287,2)&lt;&gt;0,"El datáfono no cuadra con la tarjeta",""),"")),IF(AND(ISNUMBER(J287),ISNUMBER(E287)),IF(ROUND(J287-E287,2)&lt;&gt;0,"El datáfono no cuadra con la tarjeta",""),""))</f>
        <v/>
      </c>
      <c r="Q287" s="4" t="n"/>
    </row>
    <row r="288">
      <c r="A288" s="7" t="n"/>
      <c r="B288" t="str">
        <f>IF(ISNUMBER(A288),CHOOSE(WEEKDAY(A288,2),"lunes","martes","miércoles","jueves","viernes","sábado","domingo"),"")</f>
        <v/>
      </c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  <c r="L288" s="8" t="str">
        <f>IF(AND(ISNUMBER(A288),COUNT(D288:F288)&gt;0),N(D288)+N(E288)+N(F288),"")</f>
        <v/>
      </c>
      <c r="M288" s="8" t="str">
        <f>IF(AND(ISNUMBER(L288),ISNUMBER($C$5),$C$5&gt;=0),ROUND(L288/(1+$C$5/100),2),"")</f>
        <v/>
      </c>
      <c r="N288" s="8" t="str">
        <f>IF(AND(ISNUMBER(A288),COUNT(C288:D288)&gt;0),N(C288)+N(D288)-N(G288)-N(H288),"")</f>
        <v/>
      </c>
      <c r="O288" s="8" t="str">
        <f>IF(AND(ISNUMBER(N288),ISNUMBER(I288)),ROUND(I288-N288,2),"")</f>
        <v/>
      </c>
      <c r="P288" s="9" t="str">
        <f>IF(ISNUMBER(O288),IF(AND(ISNUMBER($G$5),ABS(O288)&gt;$G$5),"Revisa el descuadre",IF(AND(ISNUMBER(J288),ISNUMBER(E288)),IF(ROUND(J288-E288,2)&lt;&gt;0,"El datáfono no cuadra con la tarjeta",""),"")),IF(AND(ISNUMBER(J288),ISNUMBER(E288)),IF(ROUND(J288-E288,2)&lt;&gt;0,"El datáfono no cuadra con la tarjeta",""),""))</f>
        <v/>
      </c>
      <c r="Q288" s="4" t="n"/>
    </row>
    <row r="289">
      <c r="A289" s="7" t="n"/>
      <c r="B289" t="str">
        <f>IF(ISNUMBER(A289),CHOOSE(WEEKDAY(A289,2),"lunes","martes","miércoles","jueves","viernes","sábado","domingo"),"")</f>
        <v/>
      </c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  <c r="L289" s="8" t="str">
        <f>IF(AND(ISNUMBER(A289),COUNT(D289:F289)&gt;0),N(D289)+N(E289)+N(F289),"")</f>
        <v/>
      </c>
      <c r="M289" s="8" t="str">
        <f>IF(AND(ISNUMBER(L289),ISNUMBER($C$5),$C$5&gt;=0),ROUND(L289/(1+$C$5/100),2),"")</f>
        <v/>
      </c>
      <c r="N289" s="8" t="str">
        <f>IF(AND(ISNUMBER(A289),COUNT(C289:D289)&gt;0),N(C289)+N(D289)-N(G289)-N(H289),"")</f>
        <v/>
      </c>
      <c r="O289" s="8" t="str">
        <f>IF(AND(ISNUMBER(N289),ISNUMBER(I289)),ROUND(I289-N289,2),"")</f>
        <v/>
      </c>
      <c r="P289" s="9" t="str">
        <f>IF(ISNUMBER(O289),IF(AND(ISNUMBER($G$5),ABS(O289)&gt;$G$5),"Revisa el descuadre",IF(AND(ISNUMBER(J289),ISNUMBER(E289)),IF(ROUND(J289-E289,2)&lt;&gt;0,"El datáfono no cuadra con la tarjeta",""),"")),IF(AND(ISNUMBER(J289),ISNUMBER(E289)),IF(ROUND(J289-E289,2)&lt;&gt;0,"El datáfono no cuadra con la tarjeta",""),""))</f>
        <v/>
      </c>
      <c r="Q289" s="4" t="n"/>
    </row>
    <row r="290">
      <c r="A290" s="7" t="n"/>
      <c r="B290" t="str">
        <f>IF(ISNUMBER(A290),CHOOSE(WEEKDAY(A290,2),"lunes","martes","miércoles","jueves","viernes","sábado","domingo"),"")</f>
        <v/>
      </c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  <c r="L290" s="8" t="str">
        <f>IF(AND(ISNUMBER(A290),COUNT(D290:F290)&gt;0),N(D290)+N(E290)+N(F290),"")</f>
        <v/>
      </c>
      <c r="M290" s="8" t="str">
        <f>IF(AND(ISNUMBER(L290),ISNUMBER($C$5),$C$5&gt;=0),ROUND(L290/(1+$C$5/100),2),"")</f>
        <v/>
      </c>
      <c r="N290" s="8" t="str">
        <f>IF(AND(ISNUMBER(A290),COUNT(C290:D290)&gt;0),N(C290)+N(D290)-N(G290)-N(H290),"")</f>
        <v/>
      </c>
      <c r="O290" s="8" t="str">
        <f>IF(AND(ISNUMBER(N290),ISNUMBER(I290)),ROUND(I290-N290,2),"")</f>
        <v/>
      </c>
      <c r="P290" s="9" t="str">
        <f>IF(ISNUMBER(O290),IF(AND(ISNUMBER($G$5),ABS(O290)&gt;$G$5),"Revisa el descuadre",IF(AND(ISNUMBER(J290),ISNUMBER(E290)),IF(ROUND(J290-E290,2)&lt;&gt;0,"El datáfono no cuadra con la tarjeta",""),"")),IF(AND(ISNUMBER(J290),ISNUMBER(E290)),IF(ROUND(J290-E290,2)&lt;&gt;0,"El datáfono no cuadra con la tarjeta",""),""))</f>
        <v/>
      </c>
      <c r="Q290" s="4" t="n"/>
    </row>
    <row r="291">
      <c r="A291" s="7" t="n"/>
      <c r="B291" t="str">
        <f>IF(ISNUMBER(A291),CHOOSE(WEEKDAY(A291,2),"lunes","martes","miércoles","jueves","viernes","sábado","domingo"),"")</f>
        <v/>
      </c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  <c r="L291" s="8" t="str">
        <f>IF(AND(ISNUMBER(A291),COUNT(D291:F291)&gt;0),N(D291)+N(E291)+N(F291),"")</f>
        <v/>
      </c>
      <c r="M291" s="8" t="str">
        <f>IF(AND(ISNUMBER(L291),ISNUMBER($C$5),$C$5&gt;=0),ROUND(L291/(1+$C$5/100),2),"")</f>
        <v/>
      </c>
      <c r="N291" s="8" t="str">
        <f>IF(AND(ISNUMBER(A291),COUNT(C291:D291)&gt;0),N(C291)+N(D291)-N(G291)-N(H291),"")</f>
        <v/>
      </c>
      <c r="O291" s="8" t="str">
        <f>IF(AND(ISNUMBER(N291),ISNUMBER(I291)),ROUND(I291-N291,2),"")</f>
        <v/>
      </c>
      <c r="P291" s="9" t="str">
        <f>IF(ISNUMBER(O291),IF(AND(ISNUMBER($G$5),ABS(O291)&gt;$G$5),"Revisa el descuadre",IF(AND(ISNUMBER(J291),ISNUMBER(E291)),IF(ROUND(J291-E291,2)&lt;&gt;0,"El datáfono no cuadra con la tarjeta",""),"")),IF(AND(ISNUMBER(J291),ISNUMBER(E291)),IF(ROUND(J291-E291,2)&lt;&gt;0,"El datáfono no cuadra con la tarjeta",""),""))</f>
        <v/>
      </c>
      <c r="Q291" s="4" t="n"/>
    </row>
    <row r="292">
      <c r="A292" s="7" t="n"/>
      <c r="B292" t="str">
        <f>IF(ISNUMBER(A292),CHOOSE(WEEKDAY(A292,2),"lunes","martes","miércoles","jueves","viernes","sábado","domingo"),"")</f>
        <v/>
      </c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  <c r="L292" s="8" t="str">
        <f>IF(AND(ISNUMBER(A292),COUNT(D292:F292)&gt;0),N(D292)+N(E292)+N(F292),"")</f>
        <v/>
      </c>
      <c r="M292" s="8" t="str">
        <f>IF(AND(ISNUMBER(L292),ISNUMBER($C$5),$C$5&gt;=0),ROUND(L292/(1+$C$5/100),2),"")</f>
        <v/>
      </c>
      <c r="N292" s="8" t="str">
        <f>IF(AND(ISNUMBER(A292),COUNT(C292:D292)&gt;0),N(C292)+N(D292)-N(G292)-N(H292),"")</f>
        <v/>
      </c>
      <c r="O292" s="8" t="str">
        <f>IF(AND(ISNUMBER(N292),ISNUMBER(I292)),ROUND(I292-N292,2),"")</f>
        <v/>
      </c>
      <c r="P292" s="9" t="str">
        <f>IF(ISNUMBER(O292),IF(AND(ISNUMBER($G$5),ABS(O292)&gt;$G$5),"Revisa el descuadre",IF(AND(ISNUMBER(J292),ISNUMBER(E292)),IF(ROUND(J292-E292,2)&lt;&gt;0,"El datáfono no cuadra con la tarjeta",""),"")),IF(AND(ISNUMBER(J292),ISNUMBER(E292)),IF(ROUND(J292-E292,2)&lt;&gt;0,"El datáfono no cuadra con la tarjeta",""),""))</f>
        <v/>
      </c>
      <c r="Q292" s="4" t="n"/>
    </row>
    <row r="293">
      <c r="A293" s="7" t="n"/>
      <c r="B293" t="str">
        <f>IF(ISNUMBER(A293),CHOOSE(WEEKDAY(A293,2),"lunes","martes","miércoles","jueves","viernes","sábado","domingo"),"")</f>
        <v/>
      </c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  <c r="L293" s="8" t="str">
        <f>IF(AND(ISNUMBER(A293),COUNT(D293:F293)&gt;0),N(D293)+N(E293)+N(F293),"")</f>
        <v/>
      </c>
      <c r="M293" s="8" t="str">
        <f>IF(AND(ISNUMBER(L293),ISNUMBER($C$5),$C$5&gt;=0),ROUND(L293/(1+$C$5/100),2),"")</f>
        <v/>
      </c>
      <c r="N293" s="8" t="str">
        <f>IF(AND(ISNUMBER(A293),COUNT(C293:D293)&gt;0),N(C293)+N(D293)-N(G293)-N(H293),"")</f>
        <v/>
      </c>
      <c r="O293" s="8" t="str">
        <f>IF(AND(ISNUMBER(N293),ISNUMBER(I293)),ROUND(I293-N293,2),"")</f>
        <v/>
      </c>
      <c r="P293" s="9" t="str">
        <f>IF(ISNUMBER(O293),IF(AND(ISNUMBER($G$5),ABS(O293)&gt;$G$5),"Revisa el descuadre",IF(AND(ISNUMBER(J293),ISNUMBER(E293)),IF(ROUND(J293-E293,2)&lt;&gt;0,"El datáfono no cuadra con la tarjeta",""),"")),IF(AND(ISNUMBER(J293),ISNUMBER(E293)),IF(ROUND(J293-E293,2)&lt;&gt;0,"El datáfono no cuadra con la tarjeta",""),""))</f>
        <v/>
      </c>
      <c r="Q293" s="4" t="n"/>
    </row>
    <row r="294">
      <c r="A294" s="7" t="n"/>
      <c r="B294" t="str">
        <f>IF(ISNUMBER(A294),CHOOSE(WEEKDAY(A294,2),"lunes","martes","miércoles","jueves","viernes","sábado","domingo"),"")</f>
        <v/>
      </c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  <c r="L294" s="8" t="str">
        <f>IF(AND(ISNUMBER(A294),COUNT(D294:F294)&gt;0),N(D294)+N(E294)+N(F294),"")</f>
        <v/>
      </c>
      <c r="M294" s="8" t="str">
        <f>IF(AND(ISNUMBER(L294),ISNUMBER($C$5),$C$5&gt;=0),ROUND(L294/(1+$C$5/100),2),"")</f>
        <v/>
      </c>
      <c r="N294" s="8" t="str">
        <f>IF(AND(ISNUMBER(A294),COUNT(C294:D294)&gt;0),N(C294)+N(D294)-N(G294)-N(H294),"")</f>
        <v/>
      </c>
      <c r="O294" s="8" t="str">
        <f>IF(AND(ISNUMBER(N294),ISNUMBER(I294)),ROUND(I294-N294,2),"")</f>
        <v/>
      </c>
      <c r="P294" s="9" t="str">
        <f>IF(ISNUMBER(O294),IF(AND(ISNUMBER($G$5),ABS(O294)&gt;$G$5),"Revisa el descuadre",IF(AND(ISNUMBER(J294),ISNUMBER(E294)),IF(ROUND(J294-E294,2)&lt;&gt;0,"El datáfono no cuadra con la tarjeta",""),"")),IF(AND(ISNUMBER(J294),ISNUMBER(E294)),IF(ROUND(J294-E294,2)&lt;&gt;0,"El datáfono no cuadra con la tarjeta",""),""))</f>
        <v/>
      </c>
      <c r="Q294" s="4" t="n"/>
    </row>
    <row r="295">
      <c r="A295" s="7" t="n"/>
      <c r="B295" t="str">
        <f>IF(ISNUMBER(A295),CHOOSE(WEEKDAY(A295,2),"lunes","martes","miércoles","jueves","viernes","sábado","domingo"),"")</f>
        <v/>
      </c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  <c r="L295" s="8" t="str">
        <f>IF(AND(ISNUMBER(A295),COUNT(D295:F295)&gt;0),N(D295)+N(E295)+N(F295),"")</f>
        <v/>
      </c>
      <c r="M295" s="8" t="str">
        <f>IF(AND(ISNUMBER(L295),ISNUMBER($C$5),$C$5&gt;=0),ROUND(L295/(1+$C$5/100),2),"")</f>
        <v/>
      </c>
      <c r="N295" s="8" t="str">
        <f>IF(AND(ISNUMBER(A295),COUNT(C295:D295)&gt;0),N(C295)+N(D295)-N(G295)-N(H295),"")</f>
        <v/>
      </c>
      <c r="O295" s="8" t="str">
        <f>IF(AND(ISNUMBER(N295),ISNUMBER(I295)),ROUND(I295-N295,2),"")</f>
        <v/>
      </c>
      <c r="P295" s="9" t="str">
        <f>IF(ISNUMBER(O295),IF(AND(ISNUMBER($G$5),ABS(O295)&gt;$G$5),"Revisa el descuadre",IF(AND(ISNUMBER(J295),ISNUMBER(E295)),IF(ROUND(J295-E295,2)&lt;&gt;0,"El datáfono no cuadra con la tarjeta",""),"")),IF(AND(ISNUMBER(J295),ISNUMBER(E295)),IF(ROUND(J295-E295,2)&lt;&gt;0,"El datáfono no cuadra con la tarjeta",""),""))</f>
        <v/>
      </c>
      <c r="Q295" s="4" t="n"/>
    </row>
    <row r="296">
      <c r="A296" s="7" t="n"/>
      <c r="B296" t="str">
        <f>IF(ISNUMBER(A296),CHOOSE(WEEKDAY(A296,2),"lunes","martes","miércoles","jueves","viernes","sábado","domingo"),"")</f>
        <v/>
      </c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  <c r="L296" s="8" t="str">
        <f>IF(AND(ISNUMBER(A296),COUNT(D296:F296)&gt;0),N(D296)+N(E296)+N(F296),"")</f>
        <v/>
      </c>
      <c r="M296" s="8" t="str">
        <f>IF(AND(ISNUMBER(L296),ISNUMBER($C$5),$C$5&gt;=0),ROUND(L296/(1+$C$5/100),2),"")</f>
        <v/>
      </c>
      <c r="N296" s="8" t="str">
        <f>IF(AND(ISNUMBER(A296),COUNT(C296:D296)&gt;0),N(C296)+N(D296)-N(G296)-N(H296),"")</f>
        <v/>
      </c>
      <c r="O296" s="8" t="str">
        <f>IF(AND(ISNUMBER(N296),ISNUMBER(I296)),ROUND(I296-N296,2),"")</f>
        <v/>
      </c>
      <c r="P296" s="9" t="str">
        <f>IF(ISNUMBER(O296),IF(AND(ISNUMBER($G$5),ABS(O296)&gt;$G$5),"Revisa el descuadre",IF(AND(ISNUMBER(J296),ISNUMBER(E296)),IF(ROUND(J296-E296,2)&lt;&gt;0,"El datáfono no cuadra con la tarjeta",""),"")),IF(AND(ISNUMBER(J296),ISNUMBER(E296)),IF(ROUND(J296-E296,2)&lt;&gt;0,"El datáfono no cuadra con la tarjeta",""),""))</f>
        <v/>
      </c>
      <c r="Q296" s="4" t="n"/>
    </row>
    <row r="297">
      <c r="A297" s="7" t="n"/>
      <c r="B297" t="str">
        <f>IF(ISNUMBER(A297),CHOOSE(WEEKDAY(A297,2),"lunes","martes","miércoles","jueves","viernes","sábado","domingo"),"")</f>
        <v/>
      </c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  <c r="L297" s="8" t="str">
        <f>IF(AND(ISNUMBER(A297),COUNT(D297:F297)&gt;0),N(D297)+N(E297)+N(F297),"")</f>
        <v/>
      </c>
      <c r="M297" s="8" t="str">
        <f>IF(AND(ISNUMBER(L297),ISNUMBER($C$5),$C$5&gt;=0),ROUND(L297/(1+$C$5/100),2),"")</f>
        <v/>
      </c>
      <c r="N297" s="8" t="str">
        <f>IF(AND(ISNUMBER(A297),COUNT(C297:D297)&gt;0),N(C297)+N(D297)-N(G297)-N(H297),"")</f>
        <v/>
      </c>
      <c r="O297" s="8" t="str">
        <f>IF(AND(ISNUMBER(N297),ISNUMBER(I297)),ROUND(I297-N297,2),"")</f>
        <v/>
      </c>
      <c r="P297" s="9" t="str">
        <f>IF(ISNUMBER(O297),IF(AND(ISNUMBER($G$5),ABS(O297)&gt;$G$5),"Revisa el descuadre",IF(AND(ISNUMBER(J297),ISNUMBER(E297)),IF(ROUND(J297-E297,2)&lt;&gt;0,"El datáfono no cuadra con la tarjeta",""),"")),IF(AND(ISNUMBER(J297),ISNUMBER(E297)),IF(ROUND(J297-E297,2)&lt;&gt;0,"El datáfono no cuadra con la tarjeta",""),""))</f>
        <v/>
      </c>
      <c r="Q297" s="4" t="n"/>
    </row>
    <row r="298">
      <c r="A298" s="7" t="n"/>
      <c r="B298" t="str">
        <f>IF(ISNUMBER(A298),CHOOSE(WEEKDAY(A298,2),"lunes","martes","miércoles","jueves","viernes","sábado","domingo"),"")</f>
        <v/>
      </c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  <c r="L298" s="8" t="str">
        <f>IF(AND(ISNUMBER(A298),COUNT(D298:F298)&gt;0),N(D298)+N(E298)+N(F298),"")</f>
        <v/>
      </c>
      <c r="M298" s="8" t="str">
        <f>IF(AND(ISNUMBER(L298),ISNUMBER($C$5),$C$5&gt;=0),ROUND(L298/(1+$C$5/100),2),"")</f>
        <v/>
      </c>
      <c r="N298" s="8" t="str">
        <f>IF(AND(ISNUMBER(A298),COUNT(C298:D298)&gt;0),N(C298)+N(D298)-N(G298)-N(H298),"")</f>
        <v/>
      </c>
      <c r="O298" s="8" t="str">
        <f>IF(AND(ISNUMBER(N298),ISNUMBER(I298)),ROUND(I298-N298,2),"")</f>
        <v/>
      </c>
      <c r="P298" s="9" t="str">
        <f>IF(ISNUMBER(O298),IF(AND(ISNUMBER($G$5),ABS(O298)&gt;$G$5),"Revisa el descuadre",IF(AND(ISNUMBER(J298),ISNUMBER(E298)),IF(ROUND(J298-E298,2)&lt;&gt;0,"El datáfono no cuadra con la tarjeta",""),"")),IF(AND(ISNUMBER(J298),ISNUMBER(E298)),IF(ROUND(J298-E298,2)&lt;&gt;0,"El datáfono no cuadra con la tarjeta",""),""))</f>
        <v/>
      </c>
      <c r="Q298" s="4" t="n"/>
    </row>
    <row r="299">
      <c r="A299" s="7" t="n"/>
      <c r="B299" t="str">
        <f>IF(ISNUMBER(A299),CHOOSE(WEEKDAY(A299,2),"lunes","martes","miércoles","jueves","viernes","sábado","domingo"),"")</f>
        <v/>
      </c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  <c r="L299" s="8" t="str">
        <f>IF(AND(ISNUMBER(A299),COUNT(D299:F299)&gt;0),N(D299)+N(E299)+N(F299),"")</f>
        <v/>
      </c>
      <c r="M299" s="8" t="str">
        <f>IF(AND(ISNUMBER(L299),ISNUMBER($C$5),$C$5&gt;=0),ROUND(L299/(1+$C$5/100),2),"")</f>
        <v/>
      </c>
      <c r="N299" s="8" t="str">
        <f>IF(AND(ISNUMBER(A299),COUNT(C299:D299)&gt;0),N(C299)+N(D299)-N(G299)-N(H299),"")</f>
        <v/>
      </c>
      <c r="O299" s="8" t="str">
        <f>IF(AND(ISNUMBER(N299),ISNUMBER(I299)),ROUND(I299-N299,2),"")</f>
        <v/>
      </c>
      <c r="P299" s="9" t="str">
        <f>IF(ISNUMBER(O299),IF(AND(ISNUMBER($G$5),ABS(O299)&gt;$G$5),"Revisa el descuadre",IF(AND(ISNUMBER(J299),ISNUMBER(E299)),IF(ROUND(J299-E299,2)&lt;&gt;0,"El datáfono no cuadra con la tarjeta",""),"")),IF(AND(ISNUMBER(J299),ISNUMBER(E299)),IF(ROUND(J299-E299,2)&lt;&gt;0,"El datáfono no cuadra con la tarjeta",""),""))</f>
        <v/>
      </c>
      <c r="Q299" s="4" t="n"/>
    </row>
    <row r="300">
      <c r="A300" s="7" t="n"/>
      <c r="B300" t="str">
        <f>IF(ISNUMBER(A300),CHOOSE(WEEKDAY(A300,2),"lunes","martes","miércoles","jueves","viernes","sábado","domingo"),"")</f>
        <v/>
      </c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  <c r="L300" s="8" t="str">
        <f>IF(AND(ISNUMBER(A300),COUNT(D300:F300)&gt;0),N(D300)+N(E300)+N(F300),"")</f>
        <v/>
      </c>
      <c r="M300" s="8" t="str">
        <f>IF(AND(ISNUMBER(L300),ISNUMBER($C$5),$C$5&gt;=0),ROUND(L300/(1+$C$5/100),2),"")</f>
        <v/>
      </c>
      <c r="N300" s="8" t="str">
        <f>IF(AND(ISNUMBER(A300),COUNT(C300:D300)&gt;0),N(C300)+N(D300)-N(G300)-N(H300),"")</f>
        <v/>
      </c>
      <c r="O300" s="8" t="str">
        <f>IF(AND(ISNUMBER(N300),ISNUMBER(I300)),ROUND(I300-N300,2),"")</f>
        <v/>
      </c>
      <c r="P300" s="9" t="str">
        <f>IF(ISNUMBER(O300),IF(AND(ISNUMBER($G$5),ABS(O300)&gt;$G$5),"Revisa el descuadre",IF(AND(ISNUMBER(J300),ISNUMBER(E300)),IF(ROUND(J300-E300,2)&lt;&gt;0,"El datáfono no cuadra con la tarjeta",""),"")),IF(AND(ISNUMBER(J300),ISNUMBER(E300)),IF(ROUND(J300-E300,2)&lt;&gt;0,"El datáfono no cuadra con la tarjeta",""),""))</f>
        <v/>
      </c>
      <c r="Q300" s="4" t="n"/>
    </row>
    <row r="301">
      <c r="A301" s="7" t="n"/>
      <c r="B301" t="str">
        <f>IF(ISNUMBER(A301),CHOOSE(WEEKDAY(A301,2),"lunes","martes","miércoles","jueves","viernes","sábado","domingo"),"")</f>
        <v/>
      </c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  <c r="L301" s="8" t="str">
        <f>IF(AND(ISNUMBER(A301),COUNT(D301:F301)&gt;0),N(D301)+N(E301)+N(F301),"")</f>
        <v/>
      </c>
      <c r="M301" s="8" t="str">
        <f>IF(AND(ISNUMBER(L301),ISNUMBER($C$5),$C$5&gt;=0),ROUND(L301/(1+$C$5/100),2),"")</f>
        <v/>
      </c>
      <c r="N301" s="8" t="str">
        <f>IF(AND(ISNUMBER(A301),COUNT(C301:D301)&gt;0),N(C301)+N(D301)-N(G301)-N(H301),"")</f>
        <v/>
      </c>
      <c r="O301" s="8" t="str">
        <f>IF(AND(ISNUMBER(N301),ISNUMBER(I301)),ROUND(I301-N301,2),"")</f>
        <v/>
      </c>
      <c r="P301" s="9" t="str">
        <f>IF(ISNUMBER(O301),IF(AND(ISNUMBER($G$5),ABS(O301)&gt;$G$5),"Revisa el descuadre",IF(AND(ISNUMBER(J301),ISNUMBER(E301)),IF(ROUND(J301-E301,2)&lt;&gt;0,"El datáfono no cuadra con la tarjeta",""),"")),IF(AND(ISNUMBER(J301),ISNUMBER(E301)),IF(ROUND(J301-E301,2)&lt;&gt;0,"El datáfono no cuadra con la tarjeta",""),""))</f>
        <v/>
      </c>
      <c r="Q301" s="4" t="n"/>
    </row>
    <row r="302">
      <c r="A302" s="7" t="n"/>
      <c r="B302" t="str">
        <f>IF(ISNUMBER(A302),CHOOSE(WEEKDAY(A302,2),"lunes","martes","miércoles","jueves","viernes","sábado","domingo"),"")</f>
        <v/>
      </c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  <c r="L302" s="8" t="str">
        <f>IF(AND(ISNUMBER(A302),COUNT(D302:F302)&gt;0),N(D302)+N(E302)+N(F302),"")</f>
        <v/>
      </c>
      <c r="M302" s="8" t="str">
        <f>IF(AND(ISNUMBER(L302),ISNUMBER($C$5),$C$5&gt;=0),ROUND(L302/(1+$C$5/100),2),"")</f>
        <v/>
      </c>
      <c r="N302" s="8" t="str">
        <f>IF(AND(ISNUMBER(A302),COUNT(C302:D302)&gt;0),N(C302)+N(D302)-N(G302)-N(H302),"")</f>
        <v/>
      </c>
      <c r="O302" s="8" t="str">
        <f>IF(AND(ISNUMBER(N302),ISNUMBER(I302)),ROUND(I302-N302,2),"")</f>
        <v/>
      </c>
      <c r="P302" s="9" t="str">
        <f>IF(ISNUMBER(O302),IF(AND(ISNUMBER($G$5),ABS(O302)&gt;$G$5),"Revisa el descuadre",IF(AND(ISNUMBER(J302),ISNUMBER(E302)),IF(ROUND(J302-E302,2)&lt;&gt;0,"El datáfono no cuadra con la tarjeta",""),"")),IF(AND(ISNUMBER(J302),ISNUMBER(E302)),IF(ROUND(J302-E302,2)&lt;&gt;0,"El datáfono no cuadra con la tarjeta",""),""))</f>
        <v/>
      </c>
      <c r="Q302" s="4" t="n"/>
    </row>
    <row r="303">
      <c r="A303" s="7" t="n"/>
      <c r="B303" t="str">
        <f>IF(ISNUMBER(A303),CHOOSE(WEEKDAY(A303,2),"lunes","martes","miércoles","jueves","viernes","sábado","domingo"),"")</f>
        <v/>
      </c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  <c r="L303" s="8" t="str">
        <f>IF(AND(ISNUMBER(A303),COUNT(D303:F303)&gt;0),N(D303)+N(E303)+N(F303),"")</f>
        <v/>
      </c>
      <c r="M303" s="8" t="str">
        <f>IF(AND(ISNUMBER(L303),ISNUMBER($C$5),$C$5&gt;=0),ROUND(L303/(1+$C$5/100),2),"")</f>
        <v/>
      </c>
      <c r="N303" s="8" t="str">
        <f>IF(AND(ISNUMBER(A303),COUNT(C303:D303)&gt;0),N(C303)+N(D303)-N(G303)-N(H303),"")</f>
        <v/>
      </c>
      <c r="O303" s="8" t="str">
        <f>IF(AND(ISNUMBER(N303),ISNUMBER(I303)),ROUND(I303-N303,2),"")</f>
        <v/>
      </c>
      <c r="P303" s="9" t="str">
        <f>IF(ISNUMBER(O303),IF(AND(ISNUMBER($G$5),ABS(O303)&gt;$G$5),"Revisa el descuadre",IF(AND(ISNUMBER(J303),ISNUMBER(E303)),IF(ROUND(J303-E303,2)&lt;&gt;0,"El datáfono no cuadra con la tarjeta",""),"")),IF(AND(ISNUMBER(J303),ISNUMBER(E303)),IF(ROUND(J303-E303,2)&lt;&gt;0,"El datáfono no cuadra con la tarjeta",""),""))</f>
        <v/>
      </c>
      <c r="Q303" s="4" t="n"/>
    </row>
    <row r="304">
      <c r="A304" s="7" t="n"/>
      <c r="B304" t="str">
        <f>IF(ISNUMBER(A304),CHOOSE(WEEKDAY(A304,2),"lunes","martes","miércoles","jueves","viernes","sábado","domingo"),"")</f>
        <v/>
      </c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  <c r="L304" s="8" t="str">
        <f>IF(AND(ISNUMBER(A304),COUNT(D304:F304)&gt;0),N(D304)+N(E304)+N(F304),"")</f>
        <v/>
      </c>
      <c r="M304" s="8" t="str">
        <f>IF(AND(ISNUMBER(L304),ISNUMBER($C$5),$C$5&gt;=0),ROUND(L304/(1+$C$5/100),2),"")</f>
        <v/>
      </c>
      <c r="N304" s="8" t="str">
        <f>IF(AND(ISNUMBER(A304),COUNT(C304:D304)&gt;0),N(C304)+N(D304)-N(G304)-N(H304),"")</f>
        <v/>
      </c>
      <c r="O304" s="8" t="str">
        <f>IF(AND(ISNUMBER(N304),ISNUMBER(I304)),ROUND(I304-N304,2),"")</f>
        <v/>
      </c>
      <c r="P304" s="9" t="str">
        <f>IF(ISNUMBER(O304),IF(AND(ISNUMBER($G$5),ABS(O304)&gt;$G$5),"Revisa el descuadre",IF(AND(ISNUMBER(J304),ISNUMBER(E304)),IF(ROUND(J304-E304,2)&lt;&gt;0,"El datáfono no cuadra con la tarjeta",""),"")),IF(AND(ISNUMBER(J304),ISNUMBER(E304)),IF(ROUND(J304-E304,2)&lt;&gt;0,"El datáfono no cuadra con la tarjeta",""),""))</f>
        <v/>
      </c>
      <c r="Q304" s="4" t="n"/>
    </row>
    <row r="305">
      <c r="A305" s="7" t="n"/>
      <c r="B305" t="str">
        <f>IF(ISNUMBER(A305),CHOOSE(WEEKDAY(A305,2),"lunes","martes","miércoles","jueves","viernes","sábado","domingo"),"")</f>
        <v/>
      </c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  <c r="L305" s="8" t="str">
        <f>IF(AND(ISNUMBER(A305),COUNT(D305:F305)&gt;0),N(D305)+N(E305)+N(F305),"")</f>
        <v/>
      </c>
      <c r="M305" s="8" t="str">
        <f>IF(AND(ISNUMBER(L305),ISNUMBER($C$5),$C$5&gt;=0),ROUND(L305/(1+$C$5/100),2),"")</f>
        <v/>
      </c>
      <c r="N305" s="8" t="str">
        <f>IF(AND(ISNUMBER(A305),COUNT(C305:D305)&gt;0),N(C305)+N(D305)-N(G305)-N(H305),"")</f>
        <v/>
      </c>
      <c r="O305" s="8" t="str">
        <f>IF(AND(ISNUMBER(N305),ISNUMBER(I305)),ROUND(I305-N305,2),"")</f>
        <v/>
      </c>
      <c r="P305" s="9" t="str">
        <f>IF(ISNUMBER(O305),IF(AND(ISNUMBER($G$5),ABS(O305)&gt;$G$5),"Revisa el descuadre",IF(AND(ISNUMBER(J305),ISNUMBER(E305)),IF(ROUND(J305-E305,2)&lt;&gt;0,"El datáfono no cuadra con la tarjeta",""),"")),IF(AND(ISNUMBER(J305),ISNUMBER(E305)),IF(ROUND(J305-E305,2)&lt;&gt;0,"El datáfono no cuadra con la tarjeta",""),""))</f>
        <v/>
      </c>
      <c r="Q305" s="4" t="n"/>
    </row>
    <row r="306">
      <c r="A306" s="7" t="n"/>
      <c r="B306" t="str">
        <f>IF(ISNUMBER(A306),CHOOSE(WEEKDAY(A306,2),"lunes","martes","miércoles","jueves","viernes","sábado","domingo"),"")</f>
        <v/>
      </c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  <c r="L306" s="8" t="str">
        <f>IF(AND(ISNUMBER(A306),COUNT(D306:F306)&gt;0),N(D306)+N(E306)+N(F306),"")</f>
        <v/>
      </c>
      <c r="M306" s="8" t="str">
        <f>IF(AND(ISNUMBER(L306),ISNUMBER($C$5),$C$5&gt;=0),ROUND(L306/(1+$C$5/100),2),"")</f>
        <v/>
      </c>
      <c r="N306" s="8" t="str">
        <f>IF(AND(ISNUMBER(A306),COUNT(C306:D306)&gt;0),N(C306)+N(D306)-N(G306)-N(H306),"")</f>
        <v/>
      </c>
      <c r="O306" s="8" t="str">
        <f>IF(AND(ISNUMBER(N306),ISNUMBER(I306)),ROUND(I306-N306,2),"")</f>
        <v/>
      </c>
      <c r="P306" s="9" t="str">
        <f>IF(ISNUMBER(O306),IF(AND(ISNUMBER($G$5),ABS(O306)&gt;$G$5),"Revisa el descuadre",IF(AND(ISNUMBER(J306),ISNUMBER(E306)),IF(ROUND(J306-E306,2)&lt;&gt;0,"El datáfono no cuadra con la tarjeta",""),"")),IF(AND(ISNUMBER(J306),ISNUMBER(E306)),IF(ROUND(J306-E306,2)&lt;&gt;0,"El datáfono no cuadra con la tarjeta",""),""))</f>
        <v/>
      </c>
      <c r="Q306" s="4" t="n"/>
    </row>
    <row r="307">
      <c r="A307" s="7" t="n"/>
      <c r="B307" t="str">
        <f>IF(ISNUMBER(A307),CHOOSE(WEEKDAY(A307,2),"lunes","martes","miércoles","jueves","viernes","sábado","domingo"),"")</f>
        <v/>
      </c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  <c r="L307" s="8" t="str">
        <f>IF(AND(ISNUMBER(A307),COUNT(D307:F307)&gt;0),N(D307)+N(E307)+N(F307),"")</f>
        <v/>
      </c>
      <c r="M307" s="8" t="str">
        <f>IF(AND(ISNUMBER(L307),ISNUMBER($C$5),$C$5&gt;=0),ROUND(L307/(1+$C$5/100),2),"")</f>
        <v/>
      </c>
      <c r="N307" s="8" t="str">
        <f>IF(AND(ISNUMBER(A307),COUNT(C307:D307)&gt;0),N(C307)+N(D307)-N(G307)-N(H307),"")</f>
        <v/>
      </c>
      <c r="O307" s="8" t="str">
        <f>IF(AND(ISNUMBER(N307),ISNUMBER(I307)),ROUND(I307-N307,2),"")</f>
        <v/>
      </c>
      <c r="P307" s="9" t="str">
        <f>IF(ISNUMBER(O307),IF(AND(ISNUMBER($G$5),ABS(O307)&gt;$G$5),"Revisa el descuadre",IF(AND(ISNUMBER(J307),ISNUMBER(E307)),IF(ROUND(J307-E307,2)&lt;&gt;0,"El datáfono no cuadra con la tarjeta",""),"")),IF(AND(ISNUMBER(J307),ISNUMBER(E307)),IF(ROUND(J307-E307,2)&lt;&gt;0,"El datáfono no cuadra con la tarjeta",""),""))</f>
        <v/>
      </c>
      <c r="Q307" s="4" t="n"/>
    </row>
    <row r="308">
      <c r="A308" s="7" t="n"/>
      <c r="B308" t="str">
        <f>IF(ISNUMBER(A308),CHOOSE(WEEKDAY(A308,2),"lunes","martes","miércoles","jueves","viernes","sábado","domingo"),"")</f>
        <v/>
      </c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  <c r="L308" s="8" t="str">
        <f>IF(AND(ISNUMBER(A308),COUNT(D308:F308)&gt;0),N(D308)+N(E308)+N(F308),"")</f>
        <v/>
      </c>
      <c r="M308" s="8" t="str">
        <f>IF(AND(ISNUMBER(L308),ISNUMBER($C$5),$C$5&gt;=0),ROUND(L308/(1+$C$5/100),2),"")</f>
        <v/>
      </c>
      <c r="N308" s="8" t="str">
        <f>IF(AND(ISNUMBER(A308),COUNT(C308:D308)&gt;0),N(C308)+N(D308)-N(G308)-N(H308),"")</f>
        <v/>
      </c>
      <c r="O308" s="8" t="str">
        <f>IF(AND(ISNUMBER(N308),ISNUMBER(I308)),ROUND(I308-N308,2),"")</f>
        <v/>
      </c>
      <c r="P308" s="9" t="str">
        <f>IF(ISNUMBER(O308),IF(AND(ISNUMBER($G$5),ABS(O308)&gt;$G$5),"Revisa el descuadre",IF(AND(ISNUMBER(J308),ISNUMBER(E308)),IF(ROUND(J308-E308,2)&lt;&gt;0,"El datáfono no cuadra con la tarjeta",""),"")),IF(AND(ISNUMBER(J308),ISNUMBER(E308)),IF(ROUND(J308-E308,2)&lt;&gt;0,"El datáfono no cuadra con la tarjeta",""),""))</f>
        <v/>
      </c>
      <c r="Q308" s="4" t="n"/>
    </row>
    <row r="309">
      <c r="A309" s="7" t="n"/>
      <c r="B309" t="str">
        <f>IF(ISNUMBER(A309),CHOOSE(WEEKDAY(A309,2),"lunes","martes","miércoles","jueves","viernes","sábado","domingo"),"")</f>
        <v/>
      </c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  <c r="L309" s="8" t="str">
        <f>IF(AND(ISNUMBER(A309),COUNT(D309:F309)&gt;0),N(D309)+N(E309)+N(F309),"")</f>
        <v/>
      </c>
      <c r="M309" s="8" t="str">
        <f>IF(AND(ISNUMBER(L309),ISNUMBER($C$5),$C$5&gt;=0),ROUND(L309/(1+$C$5/100),2),"")</f>
        <v/>
      </c>
      <c r="N309" s="8" t="str">
        <f>IF(AND(ISNUMBER(A309),COUNT(C309:D309)&gt;0),N(C309)+N(D309)-N(G309)-N(H309),"")</f>
        <v/>
      </c>
      <c r="O309" s="8" t="str">
        <f>IF(AND(ISNUMBER(N309),ISNUMBER(I309)),ROUND(I309-N309,2),"")</f>
        <v/>
      </c>
      <c r="P309" s="9" t="str">
        <f>IF(ISNUMBER(O309),IF(AND(ISNUMBER($G$5),ABS(O309)&gt;$G$5),"Revisa el descuadre",IF(AND(ISNUMBER(J309),ISNUMBER(E309)),IF(ROUND(J309-E309,2)&lt;&gt;0,"El datáfono no cuadra con la tarjeta",""),"")),IF(AND(ISNUMBER(J309),ISNUMBER(E309)),IF(ROUND(J309-E309,2)&lt;&gt;0,"El datáfono no cuadra con la tarjeta",""),""))</f>
        <v/>
      </c>
      <c r="Q309" s="4" t="n"/>
    </row>
    <row r="310">
      <c r="A310" s="7" t="n"/>
      <c r="B310" t="str">
        <f>IF(ISNUMBER(A310),CHOOSE(WEEKDAY(A310,2),"lunes","martes","miércoles","jueves","viernes","sábado","domingo"),"")</f>
        <v/>
      </c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  <c r="L310" s="8" t="str">
        <f>IF(AND(ISNUMBER(A310),COUNT(D310:F310)&gt;0),N(D310)+N(E310)+N(F310),"")</f>
        <v/>
      </c>
      <c r="M310" s="8" t="str">
        <f>IF(AND(ISNUMBER(L310),ISNUMBER($C$5),$C$5&gt;=0),ROUND(L310/(1+$C$5/100),2),"")</f>
        <v/>
      </c>
      <c r="N310" s="8" t="str">
        <f>IF(AND(ISNUMBER(A310),COUNT(C310:D310)&gt;0),N(C310)+N(D310)-N(G310)-N(H310),"")</f>
        <v/>
      </c>
      <c r="O310" s="8" t="str">
        <f>IF(AND(ISNUMBER(N310),ISNUMBER(I310)),ROUND(I310-N310,2),"")</f>
        <v/>
      </c>
      <c r="P310" s="9" t="str">
        <f>IF(ISNUMBER(O310),IF(AND(ISNUMBER($G$5),ABS(O310)&gt;$G$5),"Revisa el descuadre",IF(AND(ISNUMBER(J310),ISNUMBER(E310)),IF(ROUND(J310-E310,2)&lt;&gt;0,"El datáfono no cuadra con la tarjeta",""),"")),IF(AND(ISNUMBER(J310),ISNUMBER(E310)),IF(ROUND(J310-E310,2)&lt;&gt;0,"El datáfono no cuadra con la tarjeta",""),""))</f>
        <v/>
      </c>
      <c r="Q310" s="4" t="n"/>
    </row>
    <row r="311">
      <c r="A311" s="7" t="n"/>
      <c r="B311" t="str">
        <f>IF(ISNUMBER(A311),CHOOSE(WEEKDAY(A311,2),"lunes","martes","miércoles","jueves","viernes","sábado","domingo"),"")</f>
        <v/>
      </c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  <c r="L311" s="8" t="str">
        <f>IF(AND(ISNUMBER(A311),COUNT(D311:F311)&gt;0),N(D311)+N(E311)+N(F311),"")</f>
        <v/>
      </c>
      <c r="M311" s="8" t="str">
        <f>IF(AND(ISNUMBER(L311),ISNUMBER($C$5),$C$5&gt;=0),ROUND(L311/(1+$C$5/100),2),"")</f>
        <v/>
      </c>
      <c r="N311" s="8" t="str">
        <f>IF(AND(ISNUMBER(A311),COUNT(C311:D311)&gt;0),N(C311)+N(D311)-N(G311)-N(H311),"")</f>
        <v/>
      </c>
      <c r="O311" s="8" t="str">
        <f>IF(AND(ISNUMBER(N311),ISNUMBER(I311)),ROUND(I311-N311,2),"")</f>
        <v/>
      </c>
      <c r="P311" s="9" t="str">
        <f>IF(ISNUMBER(O311),IF(AND(ISNUMBER($G$5),ABS(O311)&gt;$G$5),"Revisa el descuadre",IF(AND(ISNUMBER(J311),ISNUMBER(E311)),IF(ROUND(J311-E311,2)&lt;&gt;0,"El datáfono no cuadra con la tarjeta",""),"")),IF(AND(ISNUMBER(J311),ISNUMBER(E311)),IF(ROUND(J311-E311,2)&lt;&gt;0,"El datáfono no cuadra con la tarjeta",""),""))</f>
        <v/>
      </c>
      <c r="Q311" s="4" t="n"/>
    </row>
    <row r="312">
      <c r="A312" s="7" t="n"/>
      <c r="B312" t="str">
        <f>IF(ISNUMBER(A312),CHOOSE(WEEKDAY(A312,2),"lunes","martes","miércoles","jueves","viernes","sábado","domingo"),"")</f>
        <v/>
      </c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  <c r="L312" s="8" t="str">
        <f>IF(AND(ISNUMBER(A312),COUNT(D312:F312)&gt;0),N(D312)+N(E312)+N(F312),"")</f>
        <v/>
      </c>
      <c r="M312" s="8" t="str">
        <f>IF(AND(ISNUMBER(L312),ISNUMBER($C$5),$C$5&gt;=0),ROUND(L312/(1+$C$5/100),2),"")</f>
        <v/>
      </c>
      <c r="N312" s="8" t="str">
        <f>IF(AND(ISNUMBER(A312),COUNT(C312:D312)&gt;0),N(C312)+N(D312)-N(G312)-N(H312),"")</f>
        <v/>
      </c>
      <c r="O312" s="8" t="str">
        <f>IF(AND(ISNUMBER(N312),ISNUMBER(I312)),ROUND(I312-N312,2),"")</f>
        <v/>
      </c>
      <c r="P312" s="9" t="str">
        <f>IF(ISNUMBER(O312),IF(AND(ISNUMBER($G$5),ABS(O312)&gt;$G$5),"Revisa el descuadre",IF(AND(ISNUMBER(J312),ISNUMBER(E312)),IF(ROUND(J312-E312,2)&lt;&gt;0,"El datáfono no cuadra con la tarjeta",""),"")),IF(AND(ISNUMBER(J312),ISNUMBER(E312)),IF(ROUND(J312-E312,2)&lt;&gt;0,"El datáfono no cuadra con la tarjeta",""),""))</f>
        <v/>
      </c>
      <c r="Q312" s="4" t="n"/>
    </row>
    <row r="313">
      <c r="A313" s="7" t="n"/>
      <c r="B313" t="str">
        <f>IF(ISNUMBER(A313),CHOOSE(WEEKDAY(A313,2),"lunes","martes","miércoles","jueves","viernes","sábado","domingo"),"")</f>
        <v/>
      </c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  <c r="L313" s="8" t="str">
        <f>IF(AND(ISNUMBER(A313),COUNT(D313:F313)&gt;0),N(D313)+N(E313)+N(F313),"")</f>
        <v/>
      </c>
      <c r="M313" s="8" t="str">
        <f>IF(AND(ISNUMBER(L313),ISNUMBER($C$5),$C$5&gt;=0),ROUND(L313/(1+$C$5/100),2),"")</f>
        <v/>
      </c>
      <c r="N313" s="8" t="str">
        <f>IF(AND(ISNUMBER(A313),COUNT(C313:D313)&gt;0),N(C313)+N(D313)-N(G313)-N(H313),"")</f>
        <v/>
      </c>
      <c r="O313" s="8" t="str">
        <f>IF(AND(ISNUMBER(N313),ISNUMBER(I313)),ROUND(I313-N313,2),"")</f>
        <v/>
      </c>
      <c r="P313" s="9" t="str">
        <f>IF(ISNUMBER(O313),IF(AND(ISNUMBER($G$5),ABS(O313)&gt;$G$5),"Revisa el descuadre",IF(AND(ISNUMBER(J313),ISNUMBER(E313)),IF(ROUND(J313-E313,2)&lt;&gt;0,"El datáfono no cuadra con la tarjeta",""),"")),IF(AND(ISNUMBER(J313),ISNUMBER(E313)),IF(ROUND(J313-E313,2)&lt;&gt;0,"El datáfono no cuadra con la tarjeta",""),""))</f>
        <v/>
      </c>
      <c r="Q313" s="4" t="n"/>
    </row>
    <row r="314">
      <c r="A314" s="7" t="n"/>
      <c r="B314" t="str">
        <f>IF(ISNUMBER(A314),CHOOSE(WEEKDAY(A314,2),"lunes","martes","miércoles","jueves","viernes","sábado","domingo"),"")</f>
        <v/>
      </c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  <c r="L314" s="8" t="str">
        <f>IF(AND(ISNUMBER(A314),COUNT(D314:F314)&gt;0),N(D314)+N(E314)+N(F314),"")</f>
        <v/>
      </c>
      <c r="M314" s="8" t="str">
        <f>IF(AND(ISNUMBER(L314),ISNUMBER($C$5),$C$5&gt;=0),ROUND(L314/(1+$C$5/100),2),"")</f>
        <v/>
      </c>
      <c r="N314" s="8" t="str">
        <f>IF(AND(ISNUMBER(A314),COUNT(C314:D314)&gt;0),N(C314)+N(D314)-N(G314)-N(H314),"")</f>
        <v/>
      </c>
      <c r="O314" s="8" t="str">
        <f>IF(AND(ISNUMBER(N314),ISNUMBER(I314)),ROUND(I314-N314,2),"")</f>
        <v/>
      </c>
      <c r="P314" s="9" t="str">
        <f>IF(ISNUMBER(O314),IF(AND(ISNUMBER($G$5),ABS(O314)&gt;$G$5),"Revisa el descuadre",IF(AND(ISNUMBER(J314),ISNUMBER(E314)),IF(ROUND(J314-E314,2)&lt;&gt;0,"El datáfono no cuadra con la tarjeta",""),"")),IF(AND(ISNUMBER(J314),ISNUMBER(E314)),IF(ROUND(J314-E314,2)&lt;&gt;0,"El datáfono no cuadra con la tarjeta",""),""))</f>
        <v/>
      </c>
      <c r="Q314" s="4" t="n"/>
    </row>
    <row r="315">
      <c r="A315" s="7" t="n"/>
      <c r="B315" t="str">
        <f>IF(ISNUMBER(A315),CHOOSE(WEEKDAY(A315,2),"lunes","martes","miércoles","jueves","viernes","sábado","domingo"),"")</f>
        <v/>
      </c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  <c r="L315" s="8" t="str">
        <f>IF(AND(ISNUMBER(A315),COUNT(D315:F315)&gt;0),N(D315)+N(E315)+N(F315),"")</f>
        <v/>
      </c>
      <c r="M315" s="8" t="str">
        <f>IF(AND(ISNUMBER(L315),ISNUMBER($C$5),$C$5&gt;=0),ROUND(L315/(1+$C$5/100),2),"")</f>
        <v/>
      </c>
      <c r="N315" s="8" t="str">
        <f>IF(AND(ISNUMBER(A315),COUNT(C315:D315)&gt;0),N(C315)+N(D315)-N(G315)-N(H315),"")</f>
        <v/>
      </c>
      <c r="O315" s="8" t="str">
        <f>IF(AND(ISNUMBER(N315),ISNUMBER(I315)),ROUND(I315-N315,2),"")</f>
        <v/>
      </c>
      <c r="P315" s="9" t="str">
        <f>IF(ISNUMBER(O315),IF(AND(ISNUMBER($G$5),ABS(O315)&gt;$G$5),"Revisa el descuadre",IF(AND(ISNUMBER(J315),ISNUMBER(E315)),IF(ROUND(J315-E315,2)&lt;&gt;0,"El datáfono no cuadra con la tarjeta",""),"")),IF(AND(ISNUMBER(J315),ISNUMBER(E315)),IF(ROUND(J315-E315,2)&lt;&gt;0,"El datáfono no cuadra con la tarjeta",""),""))</f>
        <v/>
      </c>
      <c r="Q315" s="4" t="n"/>
    </row>
    <row r="316">
      <c r="A316" s="7" t="n"/>
      <c r="B316" t="str">
        <f>IF(ISNUMBER(A316),CHOOSE(WEEKDAY(A316,2),"lunes","martes","miércoles","jueves","viernes","sábado","domingo"),"")</f>
        <v/>
      </c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  <c r="L316" s="8" t="str">
        <f>IF(AND(ISNUMBER(A316),COUNT(D316:F316)&gt;0),N(D316)+N(E316)+N(F316),"")</f>
        <v/>
      </c>
      <c r="M316" s="8" t="str">
        <f>IF(AND(ISNUMBER(L316),ISNUMBER($C$5),$C$5&gt;=0),ROUND(L316/(1+$C$5/100),2),"")</f>
        <v/>
      </c>
      <c r="N316" s="8" t="str">
        <f>IF(AND(ISNUMBER(A316),COUNT(C316:D316)&gt;0),N(C316)+N(D316)-N(G316)-N(H316),"")</f>
        <v/>
      </c>
      <c r="O316" s="8" t="str">
        <f>IF(AND(ISNUMBER(N316),ISNUMBER(I316)),ROUND(I316-N316,2),"")</f>
        <v/>
      </c>
      <c r="P316" s="9" t="str">
        <f>IF(ISNUMBER(O316),IF(AND(ISNUMBER($G$5),ABS(O316)&gt;$G$5),"Revisa el descuadre",IF(AND(ISNUMBER(J316),ISNUMBER(E316)),IF(ROUND(J316-E316,2)&lt;&gt;0,"El datáfono no cuadra con la tarjeta",""),"")),IF(AND(ISNUMBER(J316),ISNUMBER(E316)),IF(ROUND(J316-E316,2)&lt;&gt;0,"El datáfono no cuadra con la tarjeta",""),""))</f>
        <v/>
      </c>
      <c r="Q316" s="4" t="n"/>
    </row>
    <row r="317">
      <c r="A317" s="7" t="n"/>
      <c r="B317" t="str">
        <f>IF(ISNUMBER(A317),CHOOSE(WEEKDAY(A317,2),"lunes","martes","miércoles","jueves","viernes","sábado","domingo"),"")</f>
        <v/>
      </c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  <c r="L317" s="8" t="str">
        <f>IF(AND(ISNUMBER(A317),COUNT(D317:F317)&gt;0),N(D317)+N(E317)+N(F317),"")</f>
        <v/>
      </c>
      <c r="M317" s="8" t="str">
        <f>IF(AND(ISNUMBER(L317),ISNUMBER($C$5),$C$5&gt;=0),ROUND(L317/(1+$C$5/100),2),"")</f>
        <v/>
      </c>
      <c r="N317" s="8" t="str">
        <f>IF(AND(ISNUMBER(A317),COUNT(C317:D317)&gt;0),N(C317)+N(D317)-N(G317)-N(H317),"")</f>
        <v/>
      </c>
      <c r="O317" s="8" t="str">
        <f>IF(AND(ISNUMBER(N317),ISNUMBER(I317)),ROUND(I317-N317,2),"")</f>
        <v/>
      </c>
      <c r="P317" s="9" t="str">
        <f>IF(ISNUMBER(O317),IF(AND(ISNUMBER($G$5),ABS(O317)&gt;$G$5),"Revisa el descuadre",IF(AND(ISNUMBER(J317),ISNUMBER(E317)),IF(ROUND(J317-E317,2)&lt;&gt;0,"El datáfono no cuadra con la tarjeta",""),"")),IF(AND(ISNUMBER(J317),ISNUMBER(E317)),IF(ROUND(J317-E317,2)&lt;&gt;0,"El datáfono no cuadra con la tarjeta",""),""))</f>
        <v/>
      </c>
      <c r="Q317" s="4" t="n"/>
    </row>
    <row r="318">
      <c r="A318" s="7" t="n"/>
      <c r="B318" t="str">
        <f>IF(ISNUMBER(A318),CHOOSE(WEEKDAY(A318,2),"lunes","martes","miércoles","jueves","viernes","sábado","domingo"),"")</f>
        <v/>
      </c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  <c r="L318" s="8" t="str">
        <f>IF(AND(ISNUMBER(A318),COUNT(D318:F318)&gt;0),N(D318)+N(E318)+N(F318),"")</f>
        <v/>
      </c>
      <c r="M318" s="8" t="str">
        <f>IF(AND(ISNUMBER(L318),ISNUMBER($C$5),$C$5&gt;=0),ROUND(L318/(1+$C$5/100),2),"")</f>
        <v/>
      </c>
      <c r="N318" s="8" t="str">
        <f>IF(AND(ISNUMBER(A318),COUNT(C318:D318)&gt;0),N(C318)+N(D318)-N(G318)-N(H318),"")</f>
        <v/>
      </c>
      <c r="O318" s="8" t="str">
        <f>IF(AND(ISNUMBER(N318),ISNUMBER(I318)),ROUND(I318-N318,2),"")</f>
        <v/>
      </c>
      <c r="P318" s="9" t="str">
        <f>IF(ISNUMBER(O318),IF(AND(ISNUMBER($G$5),ABS(O318)&gt;$G$5),"Revisa el descuadre",IF(AND(ISNUMBER(J318),ISNUMBER(E318)),IF(ROUND(J318-E318,2)&lt;&gt;0,"El datáfono no cuadra con la tarjeta",""),"")),IF(AND(ISNUMBER(J318),ISNUMBER(E318)),IF(ROUND(J318-E318,2)&lt;&gt;0,"El datáfono no cuadra con la tarjeta",""),""))</f>
        <v/>
      </c>
      <c r="Q318" s="4" t="n"/>
    </row>
    <row r="319">
      <c r="A319" s="7" t="n"/>
      <c r="B319" t="str">
        <f>IF(ISNUMBER(A319),CHOOSE(WEEKDAY(A319,2),"lunes","martes","miércoles","jueves","viernes","sábado","domingo"),"")</f>
        <v/>
      </c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  <c r="L319" s="8" t="str">
        <f>IF(AND(ISNUMBER(A319),COUNT(D319:F319)&gt;0),N(D319)+N(E319)+N(F319),"")</f>
        <v/>
      </c>
      <c r="M319" s="8" t="str">
        <f>IF(AND(ISNUMBER(L319),ISNUMBER($C$5),$C$5&gt;=0),ROUND(L319/(1+$C$5/100),2),"")</f>
        <v/>
      </c>
      <c r="N319" s="8" t="str">
        <f>IF(AND(ISNUMBER(A319),COUNT(C319:D319)&gt;0),N(C319)+N(D319)-N(G319)-N(H319),"")</f>
        <v/>
      </c>
      <c r="O319" s="8" t="str">
        <f>IF(AND(ISNUMBER(N319),ISNUMBER(I319)),ROUND(I319-N319,2),"")</f>
        <v/>
      </c>
      <c r="P319" s="9" t="str">
        <f>IF(ISNUMBER(O319),IF(AND(ISNUMBER($G$5),ABS(O319)&gt;$G$5),"Revisa el descuadre",IF(AND(ISNUMBER(J319),ISNUMBER(E319)),IF(ROUND(J319-E319,2)&lt;&gt;0,"El datáfono no cuadra con la tarjeta",""),"")),IF(AND(ISNUMBER(J319),ISNUMBER(E319)),IF(ROUND(J319-E319,2)&lt;&gt;0,"El datáfono no cuadra con la tarjeta",""),""))</f>
        <v/>
      </c>
      <c r="Q319" s="4" t="n"/>
    </row>
    <row r="320">
      <c r="A320" s="7" t="n"/>
      <c r="B320" t="str">
        <f>IF(ISNUMBER(A320),CHOOSE(WEEKDAY(A320,2),"lunes","martes","miércoles","jueves","viernes","sábado","domingo"),"")</f>
        <v/>
      </c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  <c r="L320" s="8" t="str">
        <f>IF(AND(ISNUMBER(A320),COUNT(D320:F320)&gt;0),N(D320)+N(E320)+N(F320),"")</f>
        <v/>
      </c>
      <c r="M320" s="8" t="str">
        <f>IF(AND(ISNUMBER(L320),ISNUMBER($C$5),$C$5&gt;=0),ROUND(L320/(1+$C$5/100),2),"")</f>
        <v/>
      </c>
      <c r="N320" s="8" t="str">
        <f>IF(AND(ISNUMBER(A320),COUNT(C320:D320)&gt;0),N(C320)+N(D320)-N(G320)-N(H320),"")</f>
        <v/>
      </c>
      <c r="O320" s="8" t="str">
        <f>IF(AND(ISNUMBER(N320),ISNUMBER(I320)),ROUND(I320-N320,2),"")</f>
        <v/>
      </c>
      <c r="P320" s="9" t="str">
        <f>IF(ISNUMBER(O320),IF(AND(ISNUMBER($G$5),ABS(O320)&gt;$G$5),"Revisa el descuadre",IF(AND(ISNUMBER(J320),ISNUMBER(E320)),IF(ROUND(J320-E320,2)&lt;&gt;0,"El datáfono no cuadra con la tarjeta",""),"")),IF(AND(ISNUMBER(J320),ISNUMBER(E320)),IF(ROUND(J320-E320,2)&lt;&gt;0,"El datáfono no cuadra con la tarjeta",""),""))</f>
        <v/>
      </c>
      <c r="Q320" s="4" t="n"/>
    </row>
    <row r="321">
      <c r="A321" s="7" t="n"/>
      <c r="B321" t="str">
        <f>IF(ISNUMBER(A321),CHOOSE(WEEKDAY(A321,2),"lunes","martes","miércoles","jueves","viernes","sábado","domingo"),"")</f>
        <v/>
      </c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  <c r="L321" s="8" t="str">
        <f>IF(AND(ISNUMBER(A321),COUNT(D321:F321)&gt;0),N(D321)+N(E321)+N(F321),"")</f>
        <v/>
      </c>
      <c r="M321" s="8" t="str">
        <f>IF(AND(ISNUMBER(L321),ISNUMBER($C$5),$C$5&gt;=0),ROUND(L321/(1+$C$5/100),2),"")</f>
        <v/>
      </c>
      <c r="N321" s="8" t="str">
        <f>IF(AND(ISNUMBER(A321),COUNT(C321:D321)&gt;0),N(C321)+N(D321)-N(G321)-N(H321),"")</f>
        <v/>
      </c>
      <c r="O321" s="8" t="str">
        <f>IF(AND(ISNUMBER(N321),ISNUMBER(I321)),ROUND(I321-N321,2),"")</f>
        <v/>
      </c>
      <c r="P321" s="9" t="str">
        <f>IF(ISNUMBER(O321),IF(AND(ISNUMBER($G$5),ABS(O321)&gt;$G$5),"Revisa el descuadre",IF(AND(ISNUMBER(J321),ISNUMBER(E321)),IF(ROUND(J321-E321,2)&lt;&gt;0,"El datáfono no cuadra con la tarjeta",""),"")),IF(AND(ISNUMBER(J321),ISNUMBER(E321)),IF(ROUND(J321-E321,2)&lt;&gt;0,"El datáfono no cuadra con la tarjeta",""),""))</f>
        <v/>
      </c>
      <c r="Q321" s="4" t="n"/>
    </row>
    <row r="322">
      <c r="A322" s="7" t="n"/>
      <c r="B322" t="str">
        <f>IF(ISNUMBER(A322),CHOOSE(WEEKDAY(A322,2),"lunes","martes","miércoles","jueves","viernes","sábado","domingo"),"")</f>
        <v/>
      </c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  <c r="L322" s="8" t="str">
        <f>IF(AND(ISNUMBER(A322),COUNT(D322:F322)&gt;0),N(D322)+N(E322)+N(F322),"")</f>
        <v/>
      </c>
      <c r="M322" s="8" t="str">
        <f>IF(AND(ISNUMBER(L322),ISNUMBER($C$5),$C$5&gt;=0),ROUND(L322/(1+$C$5/100),2),"")</f>
        <v/>
      </c>
      <c r="N322" s="8" t="str">
        <f>IF(AND(ISNUMBER(A322),COUNT(C322:D322)&gt;0),N(C322)+N(D322)-N(G322)-N(H322),"")</f>
        <v/>
      </c>
      <c r="O322" s="8" t="str">
        <f>IF(AND(ISNUMBER(N322),ISNUMBER(I322)),ROUND(I322-N322,2),"")</f>
        <v/>
      </c>
      <c r="P322" s="9" t="str">
        <f>IF(ISNUMBER(O322),IF(AND(ISNUMBER($G$5),ABS(O322)&gt;$G$5),"Revisa el descuadre",IF(AND(ISNUMBER(J322),ISNUMBER(E322)),IF(ROUND(J322-E322,2)&lt;&gt;0,"El datáfono no cuadra con la tarjeta",""),"")),IF(AND(ISNUMBER(J322),ISNUMBER(E322)),IF(ROUND(J322-E322,2)&lt;&gt;0,"El datáfono no cuadra con la tarjeta",""),""))</f>
        <v/>
      </c>
      <c r="Q322" s="4" t="n"/>
    </row>
    <row r="323">
      <c r="A323" s="7" t="n"/>
      <c r="B323" t="str">
        <f>IF(ISNUMBER(A323),CHOOSE(WEEKDAY(A323,2),"lunes","martes","miércoles","jueves","viernes","sábado","domingo"),"")</f>
        <v/>
      </c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  <c r="L323" s="8" t="str">
        <f>IF(AND(ISNUMBER(A323),COUNT(D323:F323)&gt;0),N(D323)+N(E323)+N(F323),"")</f>
        <v/>
      </c>
      <c r="M323" s="8" t="str">
        <f>IF(AND(ISNUMBER(L323),ISNUMBER($C$5),$C$5&gt;=0),ROUND(L323/(1+$C$5/100),2),"")</f>
        <v/>
      </c>
      <c r="N323" s="8" t="str">
        <f>IF(AND(ISNUMBER(A323),COUNT(C323:D323)&gt;0),N(C323)+N(D323)-N(G323)-N(H323),"")</f>
        <v/>
      </c>
      <c r="O323" s="8" t="str">
        <f>IF(AND(ISNUMBER(N323),ISNUMBER(I323)),ROUND(I323-N323,2),"")</f>
        <v/>
      </c>
      <c r="P323" s="9" t="str">
        <f>IF(ISNUMBER(O323),IF(AND(ISNUMBER($G$5),ABS(O323)&gt;$G$5),"Revisa el descuadre",IF(AND(ISNUMBER(J323),ISNUMBER(E323)),IF(ROUND(J323-E323,2)&lt;&gt;0,"El datáfono no cuadra con la tarjeta",""),"")),IF(AND(ISNUMBER(J323),ISNUMBER(E323)),IF(ROUND(J323-E323,2)&lt;&gt;0,"El datáfono no cuadra con la tarjeta",""),""))</f>
        <v/>
      </c>
      <c r="Q323" s="4" t="n"/>
    </row>
    <row r="324">
      <c r="A324" s="7" t="n"/>
      <c r="B324" t="str">
        <f>IF(ISNUMBER(A324),CHOOSE(WEEKDAY(A324,2),"lunes","martes","miércoles","jueves","viernes","sábado","domingo"),"")</f>
        <v/>
      </c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  <c r="L324" s="8" t="str">
        <f>IF(AND(ISNUMBER(A324),COUNT(D324:F324)&gt;0),N(D324)+N(E324)+N(F324),"")</f>
        <v/>
      </c>
      <c r="M324" s="8" t="str">
        <f>IF(AND(ISNUMBER(L324),ISNUMBER($C$5),$C$5&gt;=0),ROUND(L324/(1+$C$5/100),2),"")</f>
        <v/>
      </c>
      <c r="N324" s="8" t="str">
        <f>IF(AND(ISNUMBER(A324),COUNT(C324:D324)&gt;0),N(C324)+N(D324)-N(G324)-N(H324),"")</f>
        <v/>
      </c>
      <c r="O324" s="8" t="str">
        <f>IF(AND(ISNUMBER(N324),ISNUMBER(I324)),ROUND(I324-N324,2),"")</f>
        <v/>
      </c>
      <c r="P324" s="9" t="str">
        <f>IF(ISNUMBER(O324),IF(AND(ISNUMBER($G$5),ABS(O324)&gt;$G$5),"Revisa el descuadre",IF(AND(ISNUMBER(J324),ISNUMBER(E324)),IF(ROUND(J324-E324,2)&lt;&gt;0,"El datáfono no cuadra con la tarjeta",""),"")),IF(AND(ISNUMBER(J324),ISNUMBER(E324)),IF(ROUND(J324-E324,2)&lt;&gt;0,"El datáfono no cuadra con la tarjeta",""),""))</f>
        <v/>
      </c>
      <c r="Q324" s="4" t="n"/>
    </row>
    <row r="325">
      <c r="A325" s="7" t="n"/>
      <c r="B325" t="str">
        <f>IF(ISNUMBER(A325),CHOOSE(WEEKDAY(A325,2),"lunes","martes","miércoles","jueves","viernes","sábado","domingo"),"")</f>
        <v/>
      </c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  <c r="L325" s="8" t="str">
        <f>IF(AND(ISNUMBER(A325),COUNT(D325:F325)&gt;0),N(D325)+N(E325)+N(F325),"")</f>
        <v/>
      </c>
      <c r="M325" s="8" t="str">
        <f>IF(AND(ISNUMBER(L325),ISNUMBER($C$5),$C$5&gt;=0),ROUND(L325/(1+$C$5/100),2),"")</f>
        <v/>
      </c>
      <c r="N325" s="8" t="str">
        <f>IF(AND(ISNUMBER(A325),COUNT(C325:D325)&gt;0),N(C325)+N(D325)-N(G325)-N(H325),"")</f>
        <v/>
      </c>
      <c r="O325" s="8" t="str">
        <f>IF(AND(ISNUMBER(N325),ISNUMBER(I325)),ROUND(I325-N325,2),"")</f>
        <v/>
      </c>
      <c r="P325" s="9" t="str">
        <f>IF(ISNUMBER(O325),IF(AND(ISNUMBER($G$5),ABS(O325)&gt;$G$5),"Revisa el descuadre",IF(AND(ISNUMBER(J325),ISNUMBER(E325)),IF(ROUND(J325-E325,2)&lt;&gt;0,"El datáfono no cuadra con la tarjeta",""),"")),IF(AND(ISNUMBER(J325),ISNUMBER(E325)),IF(ROUND(J325-E325,2)&lt;&gt;0,"El datáfono no cuadra con la tarjeta",""),""))</f>
        <v/>
      </c>
      <c r="Q325" s="4" t="n"/>
    </row>
    <row r="326">
      <c r="A326" s="7" t="n"/>
      <c r="B326" t="str">
        <f>IF(ISNUMBER(A326),CHOOSE(WEEKDAY(A326,2),"lunes","martes","miércoles","jueves","viernes","sábado","domingo"),"")</f>
        <v/>
      </c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  <c r="L326" s="8" t="str">
        <f>IF(AND(ISNUMBER(A326),COUNT(D326:F326)&gt;0),N(D326)+N(E326)+N(F326),"")</f>
        <v/>
      </c>
      <c r="M326" s="8" t="str">
        <f>IF(AND(ISNUMBER(L326),ISNUMBER($C$5),$C$5&gt;=0),ROUND(L326/(1+$C$5/100),2),"")</f>
        <v/>
      </c>
      <c r="N326" s="8" t="str">
        <f>IF(AND(ISNUMBER(A326),COUNT(C326:D326)&gt;0),N(C326)+N(D326)-N(G326)-N(H326),"")</f>
        <v/>
      </c>
      <c r="O326" s="8" t="str">
        <f>IF(AND(ISNUMBER(N326),ISNUMBER(I326)),ROUND(I326-N326,2),"")</f>
        <v/>
      </c>
      <c r="P326" s="9" t="str">
        <f>IF(ISNUMBER(O326),IF(AND(ISNUMBER($G$5),ABS(O326)&gt;$G$5),"Revisa el descuadre",IF(AND(ISNUMBER(J326),ISNUMBER(E326)),IF(ROUND(J326-E326,2)&lt;&gt;0,"El datáfono no cuadra con la tarjeta",""),"")),IF(AND(ISNUMBER(J326),ISNUMBER(E326)),IF(ROUND(J326-E326,2)&lt;&gt;0,"El datáfono no cuadra con la tarjeta",""),""))</f>
        <v/>
      </c>
      <c r="Q326" s="4" t="n"/>
    </row>
    <row r="327">
      <c r="A327" s="7" t="n"/>
      <c r="B327" t="str">
        <f>IF(ISNUMBER(A327),CHOOSE(WEEKDAY(A327,2),"lunes","martes","miércoles","jueves","viernes","sábado","domingo"),"")</f>
        <v/>
      </c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  <c r="L327" s="8" t="str">
        <f>IF(AND(ISNUMBER(A327),COUNT(D327:F327)&gt;0),N(D327)+N(E327)+N(F327),"")</f>
        <v/>
      </c>
      <c r="M327" s="8" t="str">
        <f>IF(AND(ISNUMBER(L327),ISNUMBER($C$5),$C$5&gt;=0),ROUND(L327/(1+$C$5/100),2),"")</f>
        <v/>
      </c>
      <c r="N327" s="8" t="str">
        <f>IF(AND(ISNUMBER(A327),COUNT(C327:D327)&gt;0),N(C327)+N(D327)-N(G327)-N(H327),"")</f>
        <v/>
      </c>
      <c r="O327" s="8" t="str">
        <f>IF(AND(ISNUMBER(N327),ISNUMBER(I327)),ROUND(I327-N327,2),"")</f>
        <v/>
      </c>
      <c r="P327" s="9" t="str">
        <f>IF(ISNUMBER(O327),IF(AND(ISNUMBER($G$5),ABS(O327)&gt;$G$5),"Revisa el descuadre",IF(AND(ISNUMBER(J327),ISNUMBER(E327)),IF(ROUND(J327-E327,2)&lt;&gt;0,"El datáfono no cuadra con la tarjeta",""),"")),IF(AND(ISNUMBER(J327),ISNUMBER(E327)),IF(ROUND(J327-E327,2)&lt;&gt;0,"El datáfono no cuadra con la tarjeta",""),""))</f>
        <v/>
      </c>
      <c r="Q327" s="4" t="n"/>
    </row>
    <row r="328">
      <c r="A328" s="7" t="n"/>
      <c r="B328" t="str">
        <f>IF(ISNUMBER(A328),CHOOSE(WEEKDAY(A328,2),"lunes","martes","miércoles","jueves","viernes","sábado","domingo"),"")</f>
        <v/>
      </c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  <c r="L328" s="8" t="str">
        <f>IF(AND(ISNUMBER(A328),COUNT(D328:F328)&gt;0),N(D328)+N(E328)+N(F328),"")</f>
        <v/>
      </c>
      <c r="M328" s="8" t="str">
        <f>IF(AND(ISNUMBER(L328),ISNUMBER($C$5),$C$5&gt;=0),ROUND(L328/(1+$C$5/100),2),"")</f>
        <v/>
      </c>
      <c r="N328" s="8" t="str">
        <f>IF(AND(ISNUMBER(A328),COUNT(C328:D328)&gt;0),N(C328)+N(D328)-N(G328)-N(H328),"")</f>
        <v/>
      </c>
      <c r="O328" s="8" t="str">
        <f>IF(AND(ISNUMBER(N328),ISNUMBER(I328)),ROUND(I328-N328,2),"")</f>
        <v/>
      </c>
      <c r="P328" s="9" t="str">
        <f>IF(ISNUMBER(O328),IF(AND(ISNUMBER($G$5),ABS(O328)&gt;$G$5),"Revisa el descuadre",IF(AND(ISNUMBER(J328),ISNUMBER(E328)),IF(ROUND(J328-E328,2)&lt;&gt;0,"El datáfono no cuadra con la tarjeta",""),"")),IF(AND(ISNUMBER(J328),ISNUMBER(E328)),IF(ROUND(J328-E328,2)&lt;&gt;0,"El datáfono no cuadra con la tarjeta",""),""))</f>
        <v/>
      </c>
      <c r="Q328" s="4" t="n"/>
    </row>
    <row r="329">
      <c r="A329" s="7" t="n"/>
      <c r="B329" t="str">
        <f>IF(ISNUMBER(A329),CHOOSE(WEEKDAY(A329,2),"lunes","martes","miércoles","jueves","viernes","sábado","domingo"),"")</f>
        <v/>
      </c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  <c r="L329" s="8" t="str">
        <f>IF(AND(ISNUMBER(A329),COUNT(D329:F329)&gt;0),N(D329)+N(E329)+N(F329),"")</f>
        <v/>
      </c>
      <c r="M329" s="8" t="str">
        <f>IF(AND(ISNUMBER(L329),ISNUMBER($C$5),$C$5&gt;=0),ROUND(L329/(1+$C$5/100),2),"")</f>
        <v/>
      </c>
      <c r="N329" s="8" t="str">
        <f>IF(AND(ISNUMBER(A329),COUNT(C329:D329)&gt;0),N(C329)+N(D329)-N(G329)-N(H329),"")</f>
        <v/>
      </c>
      <c r="O329" s="8" t="str">
        <f>IF(AND(ISNUMBER(N329),ISNUMBER(I329)),ROUND(I329-N329,2),"")</f>
        <v/>
      </c>
      <c r="P329" s="9" t="str">
        <f>IF(ISNUMBER(O329),IF(AND(ISNUMBER($G$5),ABS(O329)&gt;$G$5),"Revisa el descuadre",IF(AND(ISNUMBER(J329),ISNUMBER(E329)),IF(ROUND(J329-E329,2)&lt;&gt;0,"El datáfono no cuadra con la tarjeta",""),"")),IF(AND(ISNUMBER(J329),ISNUMBER(E329)),IF(ROUND(J329-E329,2)&lt;&gt;0,"El datáfono no cuadra con la tarjeta",""),""))</f>
        <v/>
      </c>
      <c r="Q329" s="4" t="n"/>
    </row>
    <row r="330">
      <c r="A330" s="7" t="n"/>
      <c r="B330" t="str">
        <f>IF(ISNUMBER(A330),CHOOSE(WEEKDAY(A330,2),"lunes","martes","miércoles","jueves","viernes","sábado","domingo"),"")</f>
        <v/>
      </c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  <c r="L330" s="8" t="str">
        <f>IF(AND(ISNUMBER(A330),COUNT(D330:F330)&gt;0),N(D330)+N(E330)+N(F330),"")</f>
        <v/>
      </c>
      <c r="M330" s="8" t="str">
        <f>IF(AND(ISNUMBER(L330),ISNUMBER($C$5),$C$5&gt;=0),ROUND(L330/(1+$C$5/100),2),"")</f>
        <v/>
      </c>
      <c r="N330" s="8" t="str">
        <f>IF(AND(ISNUMBER(A330),COUNT(C330:D330)&gt;0),N(C330)+N(D330)-N(G330)-N(H330),"")</f>
        <v/>
      </c>
      <c r="O330" s="8" t="str">
        <f>IF(AND(ISNUMBER(N330),ISNUMBER(I330)),ROUND(I330-N330,2),"")</f>
        <v/>
      </c>
      <c r="P330" s="9" t="str">
        <f>IF(ISNUMBER(O330),IF(AND(ISNUMBER($G$5),ABS(O330)&gt;$G$5),"Revisa el descuadre",IF(AND(ISNUMBER(J330),ISNUMBER(E330)),IF(ROUND(J330-E330,2)&lt;&gt;0,"El datáfono no cuadra con la tarjeta",""),"")),IF(AND(ISNUMBER(J330),ISNUMBER(E330)),IF(ROUND(J330-E330,2)&lt;&gt;0,"El datáfono no cuadra con la tarjeta",""),""))</f>
        <v/>
      </c>
      <c r="Q330" s="4" t="n"/>
    </row>
    <row r="331">
      <c r="A331" s="7" t="n"/>
      <c r="B331" t="str">
        <f>IF(ISNUMBER(A331),CHOOSE(WEEKDAY(A331,2),"lunes","martes","miércoles","jueves","viernes","sábado","domingo"),"")</f>
        <v/>
      </c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  <c r="L331" s="8" t="str">
        <f>IF(AND(ISNUMBER(A331),COUNT(D331:F331)&gt;0),N(D331)+N(E331)+N(F331),"")</f>
        <v/>
      </c>
      <c r="M331" s="8" t="str">
        <f>IF(AND(ISNUMBER(L331),ISNUMBER($C$5),$C$5&gt;=0),ROUND(L331/(1+$C$5/100),2),"")</f>
        <v/>
      </c>
      <c r="N331" s="8" t="str">
        <f>IF(AND(ISNUMBER(A331),COUNT(C331:D331)&gt;0),N(C331)+N(D331)-N(G331)-N(H331),"")</f>
        <v/>
      </c>
      <c r="O331" s="8" t="str">
        <f>IF(AND(ISNUMBER(N331),ISNUMBER(I331)),ROUND(I331-N331,2),"")</f>
        <v/>
      </c>
      <c r="P331" s="9" t="str">
        <f>IF(ISNUMBER(O331),IF(AND(ISNUMBER($G$5),ABS(O331)&gt;$G$5),"Revisa el descuadre",IF(AND(ISNUMBER(J331),ISNUMBER(E331)),IF(ROUND(J331-E331,2)&lt;&gt;0,"El datáfono no cuadra con la tarjeta",""),"")),IF(AND(ISNUMBER(J331),ISNUMBER(E331)),IF(ROUND(J331-E331,2)&lt;&gt;0,"El datáfono no cuadra con la tarjeta",""),""))</f>
        <v/>
      </c>
      <c r="Q331" s="4" t="n"/>
    </row>
    <row r="332">
      <c r="A332" s="7" t="n"/>
      <c r="B332" t="str">
        <f>IF(ISNUMBER(A332),CHOOSE(WEEKDAY(A332,2),"lunes","martes","miércoles","jueves","viernes","sábado","domingo"),"")</f>
        <v/>
      </c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  <c r="L332" s="8" t="str">
        <f>IF(AND(ISNUMBER(A332),COUNT(D332:F332)&gt;0),N(D332)+N(E332)+N(F332),"")</f>
        <v/>
      </c>
      <c r="M332" s="8" t="str">
        <f>IF(AND(ISNUMBER(L332),ISNUMBER($C$5),$C$5&gt;=0),ROUND(L332/(1+$C$5/100),2),"")</f>
        <v/>
      </c>
      <c r="N332" s="8" t="str">
        <f>IF(AND(ISNUMBER(A332),COUNT(C332:D332)&gt;0),N(C332)+N(D332)-N(G332)-N(H332),"")</f>
        <v/>
      </c>
      <c r="O332" s="8" t="str">
        <f>IF(AND(ISNUMBER(N332),ISNUMBER(I332)),ROUND(I332-N332,2),"")</f>
        <v/>
      </c>
      <c r="P332" s="9" t="str">
        <f>IF(ISNUMBER(O332),IF(AND(ISNUMBER($G$5),ABS(O332)&gt;$G$5),"Revisa el descuadre",IF(AND(ISNUMBER(J332),ISNUMBER(E332)),IF(ROUND(J332-E332,2)&lt;&gt;0,"El datáfono no cuadra con la tarjeta",""),"")),IF(AND(ISNUMBER(J332),ISNUMBER(E332)),IF(ROUND(J332-E332,2)&lt;&gt;0,"El datáfono no cuadra con la tarjeta",""),""))</f>
        <v/>
      </c>
      <c r="Q332" s="4" t="n"/>
    </row>
    <row r="333">
      <c r="A333" s="7" t="n"/>
      <c r="B333" t="str">
        <f>IF(ISNUMBER(A333),CHOOSE(WEEKDAY(A333,2),"lunes","martes","miércoles","jueves","viernes","sábado","domingo"),"")</f>
        <v/>
      </c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  <c r="L333" s="8" t="str">
        <f>IF(AND(ISNUMBER(A333),COUNT(D333:F333)&gt;0),N(D333)+N(E333)+N(F333),"")</f>
        <v/>
      </c>
      <c r="M333" s="8" t="str">
        <f>IF(AND(ISNUMBER(L333),ISNUMBER($C$5),$C$5&gt;=0),ROUND(L333/(1+$C$5/100),2),"")</f>
        <v/>
      </c>
      <c r="N333" s="8" t="str">
        <f>IF(AND(ISNUMBER(A333),COUNT(C333:D333)&gt;0),N(C333)+N(D333)-N(G333)-N(H333),"")</f>
        <v/>
      </c>
      <c r="O333" s="8" t="str">
        <f>IF(AND(ISNUMBER(N333),ISNUMBER(I333)),ROUND(I333-N333,2),"")</f>
        <v/>
      </c>
      <c r="P333" s="9" t="str">
        <f>IF(ISNUMBER(O333),IF(AND(ISNUMBER($G$5),ABS(O333)&gt;$G$5),"Revisa el descuadre",IF(AND(ISNUMBER(J333),ISNUMBER(E333)),IF(ROUND(J333-E333,2)&lt;&gt;0,"El datáfono no cuadra con la tarjeta",""),"")),IF(AND(ISNUMBER(J333),ISNUMBER(E333)),IF(ROUND(J333-E333,2)&lt;&gt;0,"El datáfono no cuadra con la tarjeta",""),""))</f>
        <v/>
      </c>
      <c r="Q333" s="4" t="n"/>
    </row>
    <row r="334">
      <c r="A334" s="7" t="n"/>
      <c r="B334" t="str">
        <f>IF(ISNUMBER(A334),CHOOSE(WEEKDAY(A334,2),"lunes","martes","miércoles","jueves","viernes","sábado","domingo"),"")</f>
        <v/>
      </c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  <c r="L334" s="8" t="str">
        <f>IF(AND(ISNUMBER(A334),COUNT(D334:F334)&gt;0),N(D334)+N(E334)+N(F334),"")</f>
        <v/>
      </c>
      <c r="M334" s="8" t="str">
        <f>IF(AND(ISNUMBER(L334),ISNUMBER($C$5),$C$5&gt;=0),ROUND(L334/(1+$C$5/100),2),"")</f>
        <v/>
      </c>
      <c r="N334" s="8" t="str">
        <f>IF(AND(ISNUMBER(A334),COUNT(C334:D334)&gt;0),N(C334)+N(D334)-N(G334)-N(H334),"")</f>
        <v/>
      </c>
      <c r="O334" s="8" t="str">
        <f>IF(AND(ISNUMBER(N334),ISNUMBER(I334)),ROUND(I334-N334,2),"")</f>
        <v/>
      </c>
      <c r="P334" s="9" t="str">
        <f>IF(ISNUMBER(O334),IF(AND(ISNUMBER($G$5),ABS(O334)&gt;$G$5),"Revisa el descuadre",IF(AND(ISNUMBER(J334),ISNUMBER(E334)),IF(ROUND(J334-E334,2)&lt;&gt;0,"El datáfono no cuadra con la tarjeta",""),"")),IF(AND(ISNUMBER(J334),ISNUMBER(E334)),IF(ROUND(J334-E334,2)&lt;&gt;0,"El datáfono no cuadra con la tarjeta",""),""))</f>
        <v/>
      </c>
      <c r="Q334" s="4" t="n"/>
    </row>
    <row r="335">
      <c r="A335" s="7" t="n"/>
      <c r="B335" t="str">
        <f>IF(ISNUMBER(A335),CHOOSE(WEEKDAY(A335,2),"lunes","martes","miércoles","jueves","viernes","sábado","domingo"),"")</f>
        <v/>
      </c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  <c r="L335" s="8" t="str">
        <f>IF(AND(ISNUMBER(A335),COUNT(D335:F335)&gt;0),N(D335)+N(E335)+N(F335),"")</f>
        <v/>
      </c>
      <c r="M335" s="8" t="str">
        <f>IF(AND(ISNUMBER(L335),ISNUMBER($C$5),$C$5&gt;=0),ROUND(L335/(1+$C$5/100),2),"")</f>
        <v/>
      </c>
      <c r="N335" s="8" t="str">
        <f>IF(AND(ISNUMBER(A335),COUNT(C335:D335)&gt;0),N(C335)+N(D335)-N(G335)-N(H335),"")</f>
        <v/>
      </c>
      <c r="O335" s="8" t="str">
        <f>IF(AND(ISNUMBER(N335),ISNUMBER(I335)),ROUND(I335-N335,2),"")</f>
        <v/>
      </c>
      <c r="P335" s="9" t="str">
        <f>IF(ISNUMBER(O335),IF(AND(ISNUMBER($G$5),ABS(O335)&gt;$G$5),"Revisa el descuadre",IF(AND(ISNUMBER(J335),ISNUMBER(E335)),IF(ROUND(J335-E335,2)&lt;&gt;0,"El datáfono no cuadra con la tarjeta",""),"")),IF(AND(ISNUMBER(J335),ISNUMBER(E335)),IF(ROUND(J335-E335,2)&lt;&gt;0,"El datáfono no cuadra con la tarjeta",""),""))</f>
        <v/>
      </c>
      <c r="Q335" s="4" t="n"/>
    </row>
    <row r="336">
      <c r="A336" s="7" t="n"/>
      <c r="B336" t="str">
        <f>IF(ISNUMBER(A336),CHOOSE(WEEKDAY(A336,2),"lunes","martes","miércoles","jueves","viernes","sábado","domingo"),"")</f>
        <v/>
      </c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  <c r="L336" s="8" t="str">
        <f>IF(AND(ISNUMBER(A336),COUNT(D336:F336)&gt;0),N(D336)+N(E336)+N(F336),"")</f>
        <v/>
      </c>
      <c r="M336" s="8" t="str">
        <f>IF(AND(ISNUMBER(L336),ISNUMBER($C$5),$C$5&gt;=0),ROUND(L336/(1+$C$5/100),2),"")</f>
        <v/>
      </c>
      <c r="N336" s="8" t="str">
        <f>IF(AND(ISNUMBER(A336),COUNT(C336:D336)&gt;0),N(C336)+N(D336)-N(G336)-N(H336),"")</f>
        <v/>
      </c>
      <c r="O336" s="8" t="str">
        <f>IF(AND(ISNUMBER(N336),ISNUMBER(I336)),ROUND(I336-N336,2),"")</f>
        <v/>
      </c>
      <c r="P336" s="9" t="str">
        <f>IF(ISNUMBER(O336),IF(AND(ISNUMBER($G$5),ABS(O336)&gt;$G$5),"Revisa el descuadre",IF(AND(ISNUMBER(J336),ISNUMBER(E336)),IF(ROUND(J336-E336,2)&lt;&gt;0,"El datáfono no cuadra con la tarjeta",""),"")),IF(AND(ISNUMBER(J336),ISNUMBER(E336)),IF(ROUND(J336-E336,2)&lt;&gt;0,"El datáfono no cuadra con la tarjeta",""),""))</f>
        <v/>
      </c>
      <c r="Q336" s="4" t="n"/>
    </row>
    <row r="337">
      <c r="A337" s="7" t="n"/>
      <c r="B337" t="str">
        <f>IF(ISNUMBER(A337),CHOOSE(WEEKDAY(A337,2),"lunes","martes","miércoles","jueves","viernes","sábado","domingo"),"")</f>
        <v/>
      </c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  <c r="L337" s="8" t="str">
        <f>IF(AND(ISNUMBER(A337),COUNT(D337:F337)&gt;0),N(D337)+N(E337)+N(F337),"")</f>
        <v/>
      </c>
      <c r="M337" s="8" t="str">
        <f>IF(AND(ISNUMBER(L337),ISNUMBER($C$5),$C$5&gt;=0),ROUND(L337/(1+$C$5/100),2),"")</f>
        <v/>
      </c>
      <c r="N337" s="8" t="str">
        <f>IF(AND(ISNUMBER(A337),COUNT(C337:D337)&gt;0),N(C337)+N(D337)-N(G337)-N(H337),"")</f>
        <v/>
      </c>
      <c r="O337" s="8" t="str">
        <f>IF(AND(ISNUMBER(N337),ISNUMBER(I337)),ROUND(I337-N337,2),"")</f>
        <v/>
      </c>
      <c r="P337" s="9" t="str">
        <f>IF(ISNUMBER(O337),IF(AND(ISNUMBER($G$5),ABS(O337)&gt;$G$5),"Revisa el descuadre",IF(AND(ISNUMBER(J337),ISNUMBER(E337)),IF(ROUND(J337-E337,2)&lt;&gt;0,"El datáfono no cuadra con la tarjeta",""),"")),IF(AND(ISNUMBER(J337),ISNUMBER(E337)),IF(ROUND(J337-E337,2)&lt;&gt;0,"El datáfono no cuadra con la tarjeta",""),""))</f>
        <v/>
      </c>
      <c r="Q337" s="4" t="n"/>
    </row>
    <row r="338">
      <c r="A338" s="7" t="n"/>
      <c r="B338" t="str">
        <f>IF(ISNUMBER(A338),CHOOSE(WEEKDAY(A338,2),"lunes","martes","miércoles","jueves","viernes","sábado","domingo"),"")</f>
        <v/>
      </c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  <c r="L338" s="8" t="str">
        <f>IF(AND(ISNUMBER(A338),COUNT(D338:F338)&gt;0),N(D338)+N(E338)+N(F338),"")</f>
        <v/>
      </c>
      <c r="M338" s="8" t="str">
        <f>IF(AND(ISNUMBER(L338),ISNUMBER($C$5),$C$5&gt;=0),ROUND(L338/(1+$C$5/100),2),"")</f>
        <v/>
      </c>
      <c r="N338" s="8" t="str">
        <f>IF(AND(ISNUMBER(A338),COUNT(C338:D338)&gt;0),N(C338)+N(D338)-N(G338)-N(H338),"")</f>
        <v/>
      </c>
      <c r="O338" s="8" t="str">
        <f>IF(AND(ISNUMBER(N338),ISNUMBER(I338)),ROUND(I338-N338,2),"")</f>
        <v/>
      </c>
      <c r="P338" s="9" t="str">
        <f>IF(ISNUMBER(O338),IF(AND(ISNUMBER($G$5),ABS(O338)&gt;$G$5),"Revisa el descuadre",IF(AND(ISNUMBER(J338),ISNUMBER(E338)),IF(ROUND(J338-E338,2)&lt;&gt;0,"El datáfono no cuadra con la tarjeta",""),"")),IF(AND(ISNUMBER(J338),ISNUMBER(E338)),IF(ROUND(J338-E338,2)&lt;&gt;0,"El datáfono no cuadra con la tarjeta",""),""))</f>
        <v/>
      </c>
      <c r="Q338" s="4" t="n"/>
    </row>
    <row r="339">
      <c r="A339" s="7" t="n"/>
      <c r="B339" t="str">
        <f>IF(ISNUMBER(A339),CHOOSE(WEEKDAY(A339,2),"lunes","martes","miércoles","jueves","viernes","sábado","domingo"),"")</f>
        <v/>
      </c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  <c r="L339" s="8" t="str">
        <f>IF(AND(ISNUMBER(A339),COUNT(D339:F339)&gt;0),N(D339)+N(E339)+N(F339),"")</f>
        <v/>
      </c>
      <c r="M339" s="8" t="str">
        <f>IF(AND(ISNUMBER(L339),ISNUMBER($C$5),$C$5&gt;=0),ROUND(L339/(1+$C$5/100),2),"")</f>
        <v/>
      </c>
      <c r="N339" s="8" t="str">
        <f>IF(AND(ISNUMBER(A339),COUNT(C339:D339)&gt;0),N(C339)+N(D339)-N(G339)-N(H339),"")</f>
        <v/>
      </c>
      <c r="O339" s="8" t="str">
        <f>IF(AND(ISNUMBER(N339),ISNUMBER(I339)),ROUND(I339-N339,2),"")</f>
        <v/>
      </c>
      <c r="P339" s="9" t="str">
        <f>IF(ISNUMBER(O339),IF(AND(ISNUMBER($G$5),ABS(O339)&gt;$G$5),"Revisa el descuadre",IF(AND(ISNUMBER(J339),ISNUMBER(E339)),IF(ROUND(J339-E339,2)&lt;&gt;0,"El datáfono no cuadra con la tarjeta",""),"")),IF(AND(ISNUMBER(J339),ISNUMBER(E339)),IF(ROUND(J339-E339,2)&lt;&gt;0,"El datáfono no cuadra con la tarjeta",""),""))</f>
        <v/>
      </c>
      <c r="Q339" s="4" t="n"/>
    </row>
    <row r="340">
      <c r="A340" s="7" t="n"/>
      <c r="B340" t="str">
        <f>IF(ISNUMBER(A340),CHOOSE(WEEKDAY(A340,2),"lunes","martes","miércoles","jueves","viernes","sábado","domingo"),"")</f>
        <v/>
      </c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  <c r="L340" s="8" t="str">
        <f>IF(AND(ISNUMBER(A340),COUNT(D340:F340)&gt;0),N(D340)+N(E340)+N(F340),"")</f>
        <v/>
      </c>
      <c r="M340" s="8" t="str">
        <f>IF(AND(ISNUMBER(L340),ISNUMBER($C$5),$C$5&gt;=0),ROUND(L340/(1+$C$5/100),2),"")</f>
        <v/>
      </c>
      <c r="N340" s="8" t="str">
        <f>IF(AND(ISNUMBER(A340),COUNT(C340:D340)&gt;0),N(C340)+N(D340)-N(G340)-N(H340),"")</f>
        <v/>
      </c>
      <c r="O340" s="8" t="str">
        <f>IF(AND(ISNUMBER(N340),ISNUMBER(I340)),ROUND(I340-N340,2),"")</f>
        <v/>
      </c>
      <c r="P340" s="9" t="str">
        <f>IF(ISNUMBER(O340),IF(AND(ISNUMBER($G$5),ABS(O340)&gt;$G$5),"Revisa el descuadre",IF(AND(ISNUMBER(J340),ISNUMBER(E340)),IF(ROUND(J340-E340,2)&lt;&gt;0,"El datáfono no cuadra con la tarjeta",""),"")),IF(AND(ISNUMBER(J340),ISNUMBER(E340)),IF(ROUND(J340-E340,2)&lt;&gt;0,"El datáfono no cuadra con la tarjeta",""),""))</f>
        <v/>
      </c>
      <c r="Q340" s="4" t="n"/>
    </row>
    <row r="341">
      <c r="A341" s="7" t="n"/>
      <c r="B341" t="str">
        <f>IF(ISNUMBER(A341),CHOOSE(WEEKDAY(A341,2),"lunes","martes","miércoles","jueves","viernes","sábado","domingo"),"")</f>
        <v/>
      </c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  <c r="L341" s="8" t="str">
        <f>IF(AND(ISNUMBER(A341),COUNT(D341:F341)&gt;0),N(D341)+N(E341)+N(F341),"")</f>
        <v/>
      </c>
      <c r="M341" s="8" t="str">
        <f>IF(AND(ISNUMBER(L341),ISNUMBER($C$5),$C$5&gt;=0),ROUND(L341/(1+$C$5/100),2),"")</f>
        <v/>
      </c>
      <c r="N341" s="8" t="str">
        <f>IF(AND(ISNUMBER(A341),COUNT(C341:D341)&gt;0),N(C341)+N(D341)-N(G341)-N(H341),"")</f>
        <v/>
      </c>
      <c r="O341" s="8" t="str">
        <f>IF(AND(ISNUMBER(N341),ISNUMBER(I341)),ROUND(I341-N341,2),"")</f>
        <v/>
      </c>
      <c r="P341" s="9" t="str">
        <f>IF(ISNUMBER(O341),IF(AND(ISNUMBER($G$5),ABS(O341)&gt;$G$5),"Revisa el descuadre",IF(AND(ISNUMBER(J341),ISNUMBER(E341)),IF(ROUND(J341-E341,2)&lt;&gt;0,"El datáfono no cuadra con la tarjeta",""),"")),IF(AND(ISNUMBER(J341),ISNUMBER(E341)),IF(ROUND(J341-E341,2)&lt;&gt;0,"El datáfono no cuadra con la tarjeta",""),""))</f>
        <v/>
      </c>
      <c r="Q341" s="4" t="n"/>
    </row>
    <row r="342">
      <c r="A342" s="7" t="n"/>
      <c r="B342" t="str">
        <f>IF(ISNUMBER(A342),CHOOSE(WEEKDAY(A342,2),"lunes","martes","miércoles","jueves","viernes","sábado","domingo"),"")</f>
        <v/>
      </c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  <c r="L342" s="8" t="str">
        <f>IF(AND(ISNUMBER(A342),COUNT(D342:F342)&gt;0),N(D342)+N(E342)+N(F342),"")</f>
        <v/>
      </c>
      <c r="M342" s="8" t="str">
        <f>IF(AND(ISNUMBER(L342),ISNUMBER($C$5),$C$5&gt;=0),ROUND(L342/(1+$C$5/100),2),"")</f>
        <v/>
      </c>
      <c r="N342" s="8" t="str">
        <f>IF(AND(ISNUMBER(A342),COUNT(C342:D342)&gt;0),N(C342)+N(D342)-N(G342)-N(H342),"")</f>
        <v/>
      </c>
      <c r="O342" s="8" t="str">
        <f>IF(AND(ISNUMBER(N342),ISNUMBER(I342)),ROUND(I342-N342,2),"")</f>
        <v/>
      </c>
      <c r="P342" s="9" t="str">
        <f>IF(ISNUMBER(O342),IF(AND(ISNUMBER($G$5),ABS(O342)&gt;$G$5),"Revisa el descuadre",IF(AND(ISNUMBER(J342),ISNUMBER(E342)),IF(ROUND(J342-E342,2)&lt;&gt;0,"El datáfono no cuadra con la tarjeta",""),"")),IF(AND(ISNUMBER(J342),ISNUMBER(E342)),IF(ROUND(J342-E342,2)&lt;&gt;0,"El datáfono no cuadra con la tarjeta",""),""))</f>
        <v/>
      </c>
      <c r="Q342" s="4" t="n"/>
    </row>
    <row r="343">
      <c r="A343" s="7" t="n"/>
      <c r="B343" t="str">
        <f>IF(ISNUMBER(A343),CHOOSE(WEEKDAY(A343,2),"lunes","martes","miércoles","jueves","viernes","sábado","domingo"),"")</f>
        <v/>
      </c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  <c r="L343" s="8" t="str">
        <f>IF(AND(ISNUMBER(A343),COUNT(D343:F343)&gt;0),N(D343)+N(E343)+N(F343),"")</f>
        <v/>
      </c>
      <c r="M343" s="8" t="str">
        <f>IF(AND(ISNUMBER(L343),ISNUMBER($C$5),$C$5&gt;=0),ROUND(L343/(1+$C$5/100),2),"")</f>
        <v/>
      </c>
      <c r="N343" s="8" t="str">
        <f>IF(AND(ISNUMBER(A343),COUNT(C343:D343)&gt;0),N(C343)+N(D343)-N(G343)-N(H343),"")</f>
        <v/>
      </c>
      <c r="O343" s="8" t="str">
        <f>IF(AND(ISNUMBER(N343),ISNUMBER(I343)),ROUND(I343-N343,2),"")</f>
        <v/>
      </c>
      <c r="P343" s="9" t="str">
        <f>IF(ISNUMBER(O343),IF(AND(ISNUMBER($G$5),ABS(O343)&gt;$G$5),"Revisa el descuadre",IF(AND(ISNUMBER(J343),ISNUMBER(E343)),IF(ROUND(J343-E343,2)&lt;&gt;0,"El datáfono no cuadra con la tarjeta",""),"")),IF(AND(ISNUMBER(J343),ISNUMBER(E343)),IF(ROUND(J343-E343,2)&lt;&gt;0,"El datáfono no cuadra con la tarjeta",""),""))</f>
        <v/>
      </c>
      <c r="Q343" s="4" t="n"/>
    </row>
    <row r="344">
      <c r="A344" s="7" t="n"/>
      <c r="B344" t="str">
        <f>IF(ISNUMBER(A344),CHOOSE(WEEKDAY(A344,2),"lunes","martes","miércoles","jueves","viernes","sábado","domingo"),"")</f>
        <v/>
      </c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  <c r="L344" s="8" t="str">
        <f>IF(AND(ISNUMBER(A344),COUNT(D344:F344)&gt;0),N(D344)+N(E344)+N(F344),"")</f>
        <v/>
      </c>
      <c r="M344" s="8" t="str">
        <f>IF(AND(ISNUMBER(L344),ISNUMBER($C$5),$C$5&gt;=0),ROUND(L344/(1+$C$5/100),2),"")</f>
        <v/>
      </c>
      <c r="N344" s="8" t="str">
        <f>IF(AND(ISNUMBER(A344),COUNT(C344:D344)&gt;0),N(C344)+N(D344)-N(G344)-N(H344),"")</f>
        <v/>
      </c>
      <c r="O344" s="8" t="str">
        <f>IF(AND(ISNUMBER(N344),ISNUMBER(I344)),ROUND(I344-N344,2),"")</f>
        <v/>
      </c>
      <c r="P344" s="9" t="str">
        <f>IF(ISNUMBER(O344),IF(AND(ISNUMBER($G$5),ABS(O344)&gt;$G$5),"Revisa el descuadre",IF(AND(ISNUMBER(J344),ISNUMBER(E344)),IF(ROUND(J344-E344,2)&lt;&gt;0,"El datáfono no cuadra con la tarjeta",""),"")),IF(AND(ISNUMBER(J344),ISNUMBER(E344)),IF(ROUND(J344-E344,2)&lt;&gt;0,"El datáfono no cuadra con la tarjeta",""),""))</f>
        <v/>
      </c>
      <c r="Q344" s="4" t="n"/>
    </row>
    <row r="345">
      <c r="A345" s="7" t="n"/>
      <c r="B345" t="str">
        <f>IF(ISNUMBER(A345),CHOOSE(WEEKDAY(A345,2),"lunes","martes","miércoles","jueves","viernes","sábado","domingo"),"")</f>
        <v/>
      </c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  <c r="L345" s="8" t="str">
        <f>IF(AND(ISNUMBER(A345),COUNT(D345:F345)&gt;0),N(D345)+N(E345)+N(F345),"")</f>
        <v/>
      </c>
      <c r="M345" s="8" t="str">
        <f>IF(AND(ISNUMBER(L345),ISNUMBER($C$5),$C$5&gt;=0),ROUND(L345/(1+$C$5/100),2),"")</f>
        <v/>
      </c>
      <c r="N345" s="8" t="str">
        <f>IF(AND(ISNUMBER(A345),COUNT(C345:D345)&gt;0),N(C345)+N(D345)-N(G345)-N(H345),"")</f>
        <v/>
      </c>
      <c r="O345" s="8" t="str">
        <f>IF(AND(ISNUMBER(N345),ISNUMBER(I345)),ROUND(I345-N345,2),"")</f>
        <v/>
      </c>
      <c r="P345" s="9" t="str">
        <f>IF(ISNUMBER(O345),IF(AND(ISNUMBER($G$5),ABS(O345)&gt;$G$5),"Revisa el descuadre",IF(AND(ISNUMBER(J345),ISNUMBER(E345)),IF(ROUND(J345-E345,2)&lt;&gt;0,"El datáfono no cuadra con la tarjeta",""),"")),IF(AND(ISNUMBER(J345),ISNUMBER(E345)),IF(ROUND(J345-E345,2)&lt;&gt;0,"El datáfono no cuadra con la tarjeta",""),""))</f>
        <v/>
      </c>
      <c r="Q345" s="4" t="n"/>
    </row>
    <row r="346">
      <c r="A346" s="7" t="n"/>
      <c r="B346" t="str">
        <f>IF(ISNUMBER(A346),CHOOSE(WEEKDAY(A346,2),"lunes","martes","miércoles","jueves","viernes","sábado","domingo"),"")</f>
        <v/>
      </c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  <c r="L346" s="8" t="str">
        <f>IF(AND(ISNUMBER(A346),COUNT(D346:F346)&gt;0),N(D346)+N(E346)+N(F346),"")</f>
        <v/>
      </c>
      <c r="M346" s="8" t="str">
        <f>IF(AND(ISNUMBER(L346),ISNUMBER($C$5),$C$5&gt;=0),ROUND(L346/(1+$C$5/100),2),"")</f>
        <v/>
      </c>
      <c r="N346" s="8" t="str">
        <f>IF(AND(ISNUMBER(A346),COUNT(C346:D346)&gt;0),N(C346)+N(D346)-N(G346)-N(H346),"")</f>
        <v/>
      </c>
      <c r="O346" s="8" t="str">
        <f>IF(AND(ISNUMBER(N346),ISNUMBER(I346)),ROUND(I346-N346,2),"")</f>
        <v/>
      </c>
      <c r="P346" s="9" t="str">
        <f>IF(ISNUMBER(O346),IF(AND(ISNUMBER($G$5),ABS(O346)&gt;$G$5),"Revisa el descuadre",IF(AND(ISNUMBER(J346),ISNUMBER(E346)),IF(ROUND(J346-E346,2)&lt;&gt;0,"El datáfono no cuadra con la tarjeta",""),"")),IF(AND(ISNUMBER(J346),ISNUMBER(E346)),IF(ROUND(J346-E346,2)&lt;&gt;0,"El datáfono no cuadra con la tarjeta",""),""))</f>
        <v/>
      </c>
      <c r="Q346" s="4" t="n"/>
    </row>
    <row r="347">
      <c r="A347" s="7" t="n"/>
      <c r="B347" t="str">
        <f>IF(ISNUMBER(A347),CHOOSE(WEEKDAY(A347,2),"lunes","martes","miércoles","jueves","viernes","sábado","domingo"),"")</f>
        <v/>
      </c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  <c r="L347" s="8" t="str">
        <f>IF(AND(ISNUMBER(A347),COUNT(D347:F347)&gt;0),N(D347)+N(E347)+N(F347),"")</f>
        <v/>
      </c>
      <c r="M347" s="8" t="str">
        <f>IF(AND(ISNUMBER(L347),ISNUMBER($C$5),$C$5&gt;=0),ROUND(L347/(1+$C$5/100),2),"")</f>
        <v/>
      </c>
      <c r="N347" s="8" t="str">
        <f>IF(AND(ISNUMBER(A347),COUNT(C347:D347)&gt;0),N(C347)+N(D347)-N(G347)-N(H347),"")</f>
        <v/>
      </c>
      <c r="O347" s="8" t="str">
        <f>IF(AND(ISNUMBER(N347),ISNUMBER(I347)),ROUND(I347-N347,2),"")</f>
        <v/>
      </c>
      <c r="P347" s="9" t="str">
        <f>IF(ISNUMBER(O347),IF(AND(ISNUMBER($G$5),ABS(O347)&gt;$G$5),"Revisa el descuadre",IF(AND(ISNUMBER(J347),ISNUMBER(E347)),IF(ROUND(J347-E347,2)&lt;&gt;0,"El datáfono no cuadra con la tarjeta",""),"")),IF(AND(ISNUMBER(J347),ISNUMBER(E347)),IF(ROUND(J347-E347,2)&lt;&gt;0,"El datáfono no cuadra con la tarjeta",""),""))</f>
        <v/>
      </c>
      <c r="Q347" s="4" t="n"/>
    </row>
    <row r="348">
      <c r="A348" s="7" t="n"/>
      <c r="B348" t="str">
        <f>IF(ISNUMBER(A348),CHOOSE(WEEKDAY(A348,2),"lunes","martes","miércoles","jueves","viernes","sábado","domingo"),"")</f>
        <v/>
      </c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  <c r="L348" s="8" t="str">
        <f>IF(AND(ISNUMBER(A348),COUNT(D348:F348)&gt;0),N(D348)+N(E348)+N(F348),"")</f>
        <v/>
      </c>
      <c r="M348" s="8" t="str">
        <f>IF(AND(ISNUMBER(L348),ISNUMBER($C$5),$C$5&gt;=0),ROUND(L348/(1+$C$5/100),2),"")</f>
        <v/>
      </c>
      <c r="N348" s="8" t="str">
        <f>IF(AND(ISNUMBER(A348),COUNT(C348:D348)&gt;0),N(C348)+N(D348)-N(G348)-N(H348),"")</f>
        <v/>
      </c>
      <c r="O348" s="8" t="str">
        <f>IF(AND(ISNUMBER(N348),ISNUMBER(I348)),ROUND(I348-N348,2),"")</f>
        <v/>
      </c>
      <c r="P348" s="9" t="str">
        <f>IF(ISNUMBER(O348),IF(AND(ISNUMBER($G$5),ABS(O348)&gt;$G$5),"Revisa el descuadre",IF(AND(ISNUMBER(J348),ISNUMBER(E348)),IF(ROUND(J348-E348,2)&lt;&gt;0,"El datáfono no cuadra con la tarjeta",""),"")),IF(AND(ISNUMBER(J348),ISNUMBER(E348)),IF(ROUND(J348-E348,2)&lt;&gt;0,"El datáfono no cuadra con la tarjeta",""),""))</f>
        <v/>
      </c>
      <c r="Q348" s="4" t="n"/>
    </row>
    <row r="349">
      <c r="A349" s="7" t="n"/>
      <c r="B349" t="str">
        <f>IF(ISNUMBER(A349),CHOOSE(WEEKDAY(A349,2),"lunes","martes","miércoles","jueves","viernes","sábado","domingo"),"")</f>
        <v/>
      </c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  <c r="L349" s="8" t="str">
        <f>IF(AND(ISNUMBER(A349),COUNT(D349:F349)&gt;0),N(D349)+N(E349)+N(F349),"")</f>
        <v/>
      </c>
      <c r="M349" s="8" t="str">
        <f>IF(AND(ISNUMBER(L349),ISNUMBER($C$5),$C$5&gt;=0),ROUND(L349/(1+$C$5/100),2),"")</f>
        <v/>
      </c>
      <c r="N349" s="8" t="str">
        <f>IF(AND(ISNUMBER(A349),COUNT(C349:D349)&gt;0),N(C349)+N(D349)-N(G349)-N(H349),"")</f>
        <v/>
      </c>
      <c r="O349" s="8" t="str">
        <f>IF(AND(ISNUMBER(N349),ISNUMBER(I349)),ROUND(I349-N349,2),"")</f>
        <v/>
      </c>
      <c r="P349" s="9" t="str">
        <f>IF(ISNUMBER(O349),IF(AND(ISNUMBER($G$5),ABS(O349)&gt;$G$5),"Revisa el descuadre",IF(AND(ISNUMBER(J349),ISNUMBER(E349)),IF(ROUND(J349-E349,2)&lt;&gt;0,"El datáfono no cuadra con la tarjeta",""),"")),IF(AND(ISNUMBER(J349),ISNUMBER(E349)),IF(ROUND(J349-E349,2)&lt;&gt;0,"El datáfono no cuadra con la tarjeta",""),""))</f>
        <v/>
      </c>
      <c r="Q349" s="4" t="n"/>
    </row>
    <row r="350">
      <c r="A350" s="7" t="n"/>
      <c r="B350" t="str">
        <f>IF(ISNUMBER(A350),CHOOSE(WEEKDAY(A350,2),"lunes","martes","miércoles","jueves","viernes","sábado","domingo"),"")</f>
        <v/>
      </c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  <c r="L350" s="8" t="str">
        <f>IF(AND(ISNUMBER(A350),COUNT(D350:F350)&gt;0),N(D350)+N(E350)+N(F350),"")</f>
        <v/>
      </c>
      <c r="M350" s="8" t="str">
        <f>IF(AND(ISNUMBER(L350),ISNUMBER($C$5),$C$5&gt;=0),ROUND(L350/(1+$C$5/100),2),"")</f>
        <v/>
      </c>
      <c r="N350" s="8" t="str">
        <f>IF(AND(ISNUMBER(A350),COUNT(C350:D350)&gt;0),N(C350)+N(D350)-N(G350)-N(H350),"")</f>
        <v/>
      </c>
      <c r="O350" s="8" t="str">
        <f>IF(AND(ISNUMBER(N350),ISNUMBER(I350)),ROUND(I350-N350,2),"")</f>
        <v/>
      </c>
      <c r="P350" s="9" t="str">
        <f>IF(ISNUMBER(O350),IF(AND(ISNUMBER($G$5),ABS(O350)&gt;$G$5),"Revisa el descuadre",IF(AND(ISNUMBER(J350),ISNUMBER(E350)),IF(ROUND(J350-E350,2)&lt;&gt;0,"El datáfono no cuadra con la tarjeta",""),"")),IF(AND(ISNUMBER(J350),ISNUMBER(E350)),IF(ROUND(J350-E350,2)&lt;&gt;0,"El datáfono no cuadra con la tarjeta",""),""))</f>
        <v/>
      </c>
      <c r="Q350" s="4" t="n"/>
    </row>
    <row r="351">
      <c r="A351" s="7" t="n"/>
      <c r="B351" t="str">
        <f>IF(ISNUMBER(A351),CHOOSE(WEEKDAY(A351,2),"lunes","martes","miércoles","jueves","viernes","sábado","domingo"),"")</f>
        <v/>
      </c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  <c r="L351" s="8" t="str">
        <f>IF(AND(ISNUMBER(A351),COUNT(D351:F351)&gt;0),N(D351)+N(E351)+N(F351),"")</f>
        <v/>
      </c>
      <c r="M351" s="8" t="str">
        <f>IF(AND(ISNUMBER(L351),ISNUMBER($C$5),$C$5&gt;=0),ROUND(L351/(1+$C$5/100),2),"")</f>
        <v/>
      </c>
      <c r="N351" s="8" t="str">
        <f>IF(AND(ISNUMBER(A351),COUNT(C351:D351)&gt;0),N(C351)+N(D351)-N(G351)-N(H351),"")</f>
        <v/>
      </c>
      <c r="O351" s="8" t="str">
        <f>IF(AND(ISNUMBER(N351),ISNUMBER(I351)),ROUND(I351-N351,2),"")</f>
        <v/>
      </c>
      <c r="P351" s="9" t="str">
        <f>IF(ISNUMBER(O351),IF(AND(ISNUMBER($G$5),ABS(O351)&gt;$G$5),"Revisa el descuadre",IF(AND(ISNUMBER(J351),ISNUMBER(E351)),IF(ROUND(J351-E351,2)&lt;&gt;0,"El datáfono no cuadra con la tarjeta",""),"")),IF(AND(ISNUMBER(J351),ISNUMBER(E351)),IF(ROUND(J351-E351,2)&lt;&gt;0,"El datáfono no cuadra con la tarjeta",""),""))</f>
        <v/>
      </c>
      <c r="Q351" s="4" t="n"/>
    </row>
    <row r="352">
      <c r="A352" s="7" t="n"/>
      <c r="B352" t="str">
        <f>IF(ISNUMBER(A352),CHOOSE(WEEKDAY(A352,2),"lunes","martes","miércoles","jueves","viernes","sábado","domingo"),"")</f>
        <v/>
      </c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  <c r="L352" s="8" t="str">
        <f>IF(AND(ISNUMBER(A352),COUNT(D352:F352)&gt;0),N(D352)+N(E352)+N(F352),"")</f>
        <v/>
      </c>
      <c r="M352" s="8" t="str">
        <f>IF(AND(ISNUMBER(L352),ISNUMBER($C$5),$C$5&gt;=0),ROUND(L352/(1+$C$5/100),2),"")</f>
        <v/>
      </c>
      <c r="N352" s="8" t="str">
        <f>IF(AND(ISNUMBER(A352),COUNT(C352:D352)&gt;0),N(C352)+N(D352)-N(G352)-N(H352),"")</f>
        <v/>
      </c>
      <c r="O352" s="8" t="str">
        <f>IF(AND(ISNUMBER(N352),ISNUMBER(I352)),ROUND(I352-N352,2),"")</f>
        <v/>
      </c>
      <c r="P352" s="9" t="str">
        <f>IF(ISNUMBER(O352),IF(AND(ISNUMBER($G$5),ABS(O352)&gt;$G$5),"Revisa el descuadre",IF(AND(ISNUMBER(J352),ISNUMBER(E352)),IF(ROUND(J352-E352,2)&lt;&gt;0,"El datáfono no cuadra con la tarjeta",""),"")),IF(AND(ISNUMBER(J352),ISNUMBER(E352)),IF(ROUND(J352-E352,2)&lt;&gt;0,"El datáfono no cuadra con la tarjeta",""),""))</f>
        <v/>
      </c>
      <c r="Q352" s="4" t="n"/>
    </row>
    <row r="353">
      <c r="A353" s="7" t="n"/>
      <c r="B353" t="str">
        <f>IF(ISNUMBER(A353),CHOOSE(WEEKDAY(A353,2),"lunes","martes","miércoles","jueves","viernes","sábado","domingo"),"")</f>
        <v/>
      </c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  <c r="L353" s="8" t="str">
        <f>IF(AND(ISNUMBER(A353),COUNT(D353:F353)&gt;0),N(D353)+N(E353)+N(F353),"")</f>
        <v/>
      </c>
      <c r="M353" s="8" t="str">
        <f>IF(AND(ISNUMBER(L353),ISNUMBER($C$5),$C$5&gt;=0),ROUND(L353/(1+$C$5/100),2),"")</f>
        <v/>
      </c>
      <c r="N353" s="8" t="str">
        <f>IF(AND(ISNUMBER(A353),COUNT(C353:D353)&gt;0),N(C353)+N(D353)-N(G353)-N(H353),"")</f>
        <v/>
      </c>
      <c r="O353" s="8" t="str">
        <f>IF(AND(ISNUMBER(N353),ISNUMBER(I353)),ROUND(I353-N353,2),"")</f>
        <v/>
      </c>
      <c r="P353" s="9" t="str">
        <f>IF(ISNUMBER(O353),IF(AND(ISNUMBER($G$5),ABS(O353)&gt;$G$5),"Revisa el descuadre",IF(AND(ISNUMBER(J353),ISNUMBER(E353)),IF(ROUND(J353-E353,2)&lt;&gt;0,"El datáfono no cuadra con la tarjeta",""),"")),IF(AND(ISNUMBER(J353),ISNUMBER(E353)),IF(ROUND(J353-E353,2)&lt;&gt;0,"El datáfono no cuadra con la tarjeta",""),""))</f>
        <v/>
      </c>
      <c r="Q353" s="4" t="n"/>
    </row>
    <row r="354">
      <c r="A354" s="7" t="n"/>
      <c r="B354" t="str">
        <f>IF(ISNUMBER(A354),CHOOSE(WEEKDAY(A354,2),"lunes","martes","miércoles","jueves","viernes","sábado","domingo"),"")</f>
        <v/>
      </c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  <c r="L354" s="8" t="str">
        <f>IF(AND(ISNUMBER(A354),COUNT(D354:F354)&gt;0),N(D354)+N(E354)+N(F354),"")</f>
        <v/>
      </c>
      <c r="M354" s="8" t="str">
        <f>IF(AND(ISNUMBER(L354),ISNUMBER($C$5),$C$5&gt;=0),ROUND(L354/(1+$C$5/100),2),"")</f>
        <v/>
      </c>
      <c r="N354" s="8" t="str">
        <f>IF(AND(ISNUMBER(A354),COUNT(C354:D354)&gt;0),N(C354)+N(D354)-N(G354)-N(H354),"")</f>
        <v/>
      </c>
      <c r="O354" s="8" t="str">
        <f>IF(AND(ISNUMBER(N354),ISNUMBER(I354)),ROUND(I354-N354,2),"")</f>
        <v/>
      </c>
      <c r="P354" s="9" t="str">
        <f>IF(ISNUMBER(O354),IF(AND(ISNUMBER($G$5),ABS(O354)&gt;$G$5),"Revisa el descuadre",IF(AND(ISNUMBER(J354),ISNUMBER(E354)),IF(ROUND(J354-E354,2)&lt;&gt;0,"El datáfono no cuadra con la tarjeta",""),"")),IF(AND(ISNUMBER(J354),ISNUMBER(E354)),IF(ROUND(J354-E354,2)&lt;&gt;0,"El datáfono no cuadra con la tarjeta",""),""))</f>
        <v/>
      </c>
      <c r="Q354" s="4" t="n"/>
    </row>
    <row r="355">
      <c r="A355" s="7" t="n"/>
      <c r="B355" t="str">
        <f>IF(ISNUMBER(A355),CHOOSE(WEEKDAY(A355,2),"lunes","martes","miércoles","jueves","viernes","sábado","domingo"),"")</f>
        <v/>
      </c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  <c r="L355" s="8" t="str">
        <f>IF(AND(ISNUMBER(A355),COUNT(D355:F355)&gt;0),N(D355)+N(E355)+N(F355),"")</f>
        <v/>
      </c>
      <c r="M355" s="8" t="str">
        <f>IF(AND(ISNUMBER(L355),ISNUMBER($C$5),$C$5&gt;=0),ROUND(L355/(1+$C$5/100),2),"")</f>
        <v/>
      </c>
      <c r="N355" s="8" t="str">
        <f>IF(AND(ISNUMBER(A355),COUNT(C355:D355)&gt;0),N(C355)+N(D355)-N(G355)-N(H355),"")</f>
        <v/>
      </c>
      <c r="O355" s="8" t="str">
        <f>IF(AND(ISNUMBER(N355),ISNUMBER(I355)),ROUND(I355-N355,2),"")</f>
        <v/>
      </c>
      <c r="P355" s="9" t="str">
        <f>IF(ISNUMBER(O355),IF(AND(ISNUMBER($G$5),ABS(O355)&gt;$G$5),"Revisa el descuadre",IF(AND(ISNUMBER(J355),ISNUMBER(E355)),IF(ROUND(J355-E355,2)&lt;&gt;0,"El datáfono no cuadra con la tarjeta",""),"")),IF(AND(ISNUMBER(J355),ISNUMBER(E355)),IF(ROUND(J355-E355,2)&lt;&gt;0,"El datáfono no cuadra con la tarjeta",""),""))</f>
        <v/>
      </c>
      <c r="Q355" s="4" t="n"/>
    </row>
    <row r="356">
      <c r="A356" s="7" t="n"/>
      <c r="B356" t="str">
        <f>IF(ISNUMBER(A356),CHOOSE(WEEKDAY(A356,2),"lunes","martes","miércoles","jueves","viernes","sábado","domingo"),"")</f>
        <v/>
      </c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  <c r="L356" s="8" t="str">
        <f>IF(AND(ISNUMBER(A356),COUNT(D356:F356)&gt;0),N(D356)+N(E356)+N(F356),"")</f>
        <v/>
      </c>
      <c r="M356" s="8" t="str">
        <f>IF(AND(ISNUMBER(L356),ISNUMBER($C$5),$C$5&gt;=0),ROUND(L356/(1+$C$5/100),2),"")</f>
        <v/>
      </c>
      <c r="N356" s="8" t="str">
        <f>IF(AND(ISNUMBER(A356),COUNT(C356:D356)&gt;0),N(C356)+N(D356)-N(G356)-N(H356),"")</f>
        <v/>
      </c>
      <c r="O356" s="8" t="str">
        <f>IF(AND(ISNUMBER(N356),ISNUMBER(I356)),ROUND(I356-N356,2),"")</f>
        <v/>
      </c>
      <c r="P356" s="9" t="str">
        <f>IF(ISNUMBER(O356),IF(AND(ISNUMBER($G$5),ABS(O356)&gt;$G$5),"Revisa el descuadre",IF(AND(ISNUMBER(J356),ISNUMBER(E356)),IF(ROUND(J356-E356,2)&lt;&gt;0,"El datáfono no cuadra con la tarjeta",""),"")),IF(AND(ISNUMBER(J356),ISNUMBER(E356)),IF(ROUND(J356-E356,2)&lt;&gt;0,"El datáfono no cuadra con la tarjeta",""),""))</f>
        <v/>
      </c>
      <c r="Q356" s="4" t="n"/>
    </row>
    <row r="357">
      <c r="A357" s="7" t="n"/>
      <c r="B357" t="str">
        <f>IF(ISNUMBER(A357),CHOOSE(WEEKDAY(A357,2),"lunes","martes","miércoles","jueves","viernes","sábado","domingo"),"")</f>
        <v/>
      </c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  <c r="L357" s="8" t="str">
        <f>IF(AND(ISNUMBER(A357),COUNT(D357:F357)&gt;0),N(D357)+N(E357)+N(F357),"")</f>
        <v/>
      </c>
      <c r="M357" s="8" t="str">
        <f>IF(AND(ISNUMBER(L357),ISNUMBER($C$5),$C$5&gt;=0),ROUND(L357/(1+$C$5/100),2),"")</f>
        <v/>
      </c>
      <c r="N357" s="8" t="str">
        <f>IF(AND(ISNUMBER(A357),COUNT(C357:D357)&gt;0),N(C357)+N(D357)-N(G357)-N(H357),"")</f>
        <v/>
      </c>
      <c r="O357" s="8" t="str">
        <f>IF(AND(ISNUMBER(N357),ISNUMBER(I357)),ROUND(I357-N357,2),"")</f>
        <v/>
      </c>
      <c r="P357" s="9" t="str">
        <f>IF(ISNUMBER(O357),IF(AND(ISNUMBER($G$5),ABS(O357)&gt;$G$5),"Revisa el descuadre",IF(AND(ISNUMBER(J357),ISNUMBER(E357)),IF(ROUND(J357-E357,2)&lt;&gt;0,"El datáfono no cuadra con la tarjeta",""),"")),IF(AND(ISNUMBER(J357),ISNUMBER(E357)),IF(ROUND(J357-E357,2)&lt;&gt;0,"El datáfono no cuadra con la tarjeta",""),""))</f>
        <v/>
      </c>
      <c r="Q357" s="4" t="n"/>
    </row>
    <row r="358">
      <c r="A358" s="7" t="n"/>
      <c r="B358" t="str">
        <f>IF(ISNUMBER(A358),CHOOSE(WEEKDAY(A358,2),"lunes","martes","miércoles","jueves","viernes","sábado","domingo"),"")</f>
        <v/>
      </c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  <c r="L358" s="8" t="str">
        <f>IF(AND(ISNUMBER(A358),COUNT(D358:F358)&gt;0),N(D358)+N(E358)+N(F358),"")</f>
        <v/>
      </c>
      <c r="M358" s="8" t="str">
        <f>IF(AND(ISNUMBER(L358),ISNUMBER($C$5),$C$5&gt;=0),ROUND(L358/(1+$C$5/100),2),"")</f>
        <v/>
      </c>
      <c r="N358" s="8" t="str">
        <f>IF(AND(ISNUMBER(A358),COUNT(C358:D358)&gt;0),N(C358)+N(D358)-N(G358)-N(H358),"")</f>
        <v/>
      </c>
      <c r="O358" s="8" t="str">
        <f>IF(AND(ISNUMBER(N358),ISNUMBER(I358)),ROUND(I358-N358,2),"")</f>
        <v/>
      </c>
      <c r="P358" s="9" t="str">
        <f>IF(ISNUMBER(O358),IF(AND(ISNUMBER($G$5),ABS(O358)&gt;$G$5),"Revisa el descuadre",IF(AND(ISNUMBER(J358),ISNUMBER(E358)),IF(ROUND(J358-E358,2)&lt;&gt;0,"El datáfono no cuadra con la tarjeta",""),"")),IF(AND(ISNUMBER(J358),ISNUMBER(E358)),IF(ROUND(J358-E358,2)&lt;&gt;0,"El datáfono no cuadra con la tarjeta",""),""))</f>
        <v/>
      </c>
      <c r="Q358" s="4" t="n"/>
    </row>
    <row r="359">
      <c r="A359" s="7" t="n"/>
      <c r="B359" t="str">
        <f>IF(ISNUMBER(A359),CHOOSE(WEEKDAY(A359,2),"lunes","martes","miércoles","jueves","viernes","sábado","domingo"),"")</f>
        <v/>
      </c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  <c r="L359" s="8" t="str">
        <f>IF(AND(ISNUMBER(A359),COUNT(D359:F359)&gt;0),N(D359)+N(E359)+N(F359),"")</f>
        <v/>
      </c>
      <c r="M359" s="8" t="str">
        <f>IF(AND(ISNUMBER(L359),ISNUMBER($C$5),$C$5&gt;=0),ROUND(L359/(1+$C$5/100),2),"")</f>
        <v/>
      </c>
      <c r="N359" s="8" t="str">
        <f>IF(AND(ISNUMBER(A359),COUNT(C359:D359)&gt;0),N(C359)+N(D359)-N(G359)-N(H359),"")</f>
        <v/>
      </c>
      <c r="O359" s="8" t="str">
        <f>IF(AND(ISNUMBER(N359),ISNUMBER(I359)),ROUND(I359-N359,2),"")</f>
        <v/>
      </c>
      <c r="P359" s="9" t="str">
        <f>IF(ISNUMBER(O359),IF(AND(ISNUMBER($G$5),ABS(O359)&gt;$G$5),"Revisa el descuadre",IF(AND(ISNUMBER(J359),ISNUMBER(E359)),IF(ROUND(J359-E359,2)&lt;&gt;0,"El datáfono no cuadra con la tarjeta",""),"")),IF(AND(ISNUMBER(J359),ISNUMBER(E359)),IF(ROUND(J359-E359,2)&lt;&gt;0,"El datáfono no cuadra con la tarjeta",""),""))</f>
        <v/>
      </c>
      <c r="Q359" s="4" t="n"/>
    </row>
    <row r="360">
      <c r="A360" s="7" t="n"/>
      <c r="B360" t="str">
        <f>IF(ISNUMBER(A360),CHOOSE(WEEKDAY(A360,2),"lunes","martes","miércoles","jueves","viernes","sábado","domingo"),"")</f>
        <v/>
      </c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  <c r="L360" s="8" t="str">
        <f>IF(AND(ISNUMBER(A360),COUNT(D360:F360)&gt;0),N(D360)+N(E360)+N(F360),"")</f>
        <v/>
      </c>
      <c r="M360" s="8" t="str">
        <f>IF(AND(ISNUMBER(L360),ISNUMBER($C$5),$C$5&gt;=0),ROUND(L360/(1+$C$5/100),2),"")</f>
        <v/>
      </c>
      <c r="N360" s="8" t="str">
        <f>IF(AND(ISNUMBER(A360),COUNT(C360:D360)&gt;0),N(C360)+N(D360)-N(G360)-N(H360),"")</f>
        <v/>
      </c>
      <c r="O360" s="8" t="str">
        <f>IF(AND(ISNUMBER(N360),ISNUMBER(I360)),ROUND(I360-N360,2),"")</f>
        <v/>
      </c>
      <c r="P360" s="9" t="str">
        <f>IF(ISNUMBER(O360),IF(AND(ISNUMBER($G$5),ABS(O360)&gt;$G$5),"Revisa el descuadre",IF(AND(ISNUMBER(J360),ISNUMBER(E360)),IF(ROUND(J360-E360,2)&lt;&gt;0,"El datáfono no cuadra con la tarjeta",""),"")),IF(AND(ISNUMBER(J360),ISNUMBER(E360)),IF(ROUND(J360-E360,2)&lt;&gt;0,"El datáfono no cuadra con la tarjeta",""),""))</f>
        <v/>
      </c>
      <c r="Q360" s="4" t="n"/>
    </row>
    <row r="361">
      <c r="A361" s="7" t="n"/>
      <c r="B361" t="str">
        <f>IF(ISNUMBER(A361),CHOOSE(WEEKDAY(A361,2),"lunes","martes","miércoles","jueves","viernes","sábado","domingo"),"")</f>
        <v/>
      </c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  <c r="L361" s="8" t="str">
        <f>IF(AND(ISNUMBER(A361),COUNT(D361:F361)&gt;0),N(D361)+N(E361)+N(F361),"")</f>
        <v/>
      </c>
      <c r="M361" s="8" t="str">
        <f>IF(AND(ISNUMBER(L361),ISNUMBER($C$5),$C$5&gt;=0),ROUND(L361/(1+$C$5/100),2),"")</f>
        <v/>
      </c>
      <c r="N361" s="8" t="str">
        <f>IF(AND(ISNUMBER(A361),COUNT(C361:D361)&gt;0),N(C361)+N(D361)-N(G361)-N(H361),"")</f>
        <v/>
      </c>
      <c r="O361" s="8" t="str">
        <f>IF(AND(ISNUMBER(N361),ISNUMBER(I361)),ROUND(I361-N361,2),"")</f>
        <v/>
      </c>
      <c r="P361" s="9" t="str">
        <f>IF(ISNUMBER(O361),IF(AND(ISNUMBER($G$5),ABS(O361)&gt;$G$5),"Revisa el descuadre",IF(AND(ISNUMBER(J361),ISNUMBER(E361)),IF(ROUND(J361-E361,2)&lt;&gt;0,"El datáfono no cuadra con la tarjeta",""),"")),IF(AND(ISNUMBER(J361),ISNUMBER(E361)),IF(ROUND(J361-E361,2)&lt;&gt;0,"El datáfono no cuadra con la tarjeta",""),""))</f>
        <v/>
      </c>
      <c r="Q361" s="4" t="n"/>
    </row>
    <row r="362">
      <c r="A362" s="7" t="n"/>
      <c r="B362" t="str">
        <f>IF(ISNUMBER(A362),CHOOSE(WEEKDAY(A362,2),"lunes","martes","miércoles","jueves","viernes","sábado","domingo"),"")</f>
        <v/>
      </c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  <c r="L362" s="8" t="str">
        <f>IF(AND(ISNUMBER(A362),COUNT(D362:F362)&gt;0),N(D362)+N(E362)+N(F362),"")</f>
        <v/>
      </c>
      <c r="M362" s="8" t="str">
        <f>IF(AND(ISNUMBER(L362),ISNUMBER($C$5),$C$5&gt;=0),ROUND(L362/(1+$C$5/100),2),"")</f>
        <v/>
      </c>
      <c r="N362" s="8" t="str">
        <f>IF(AND(ISNUMBER(A362),COUNT(C362:D362)&gt;0),N(C362)+N(D362)-N(G362)-N(H362),"")</f>
        <v/>
      </c>
      <c r="O362" s="8" t="str">
        <f>IF(AND(ISNUMBER(N362),ISNUMBER(I362)),ROUND(I362-N362,2),"")</f>
        <v/>
      </c>
      <c r="P362" s="9" t="str">
        <f>IF(ISNUMBER(O362),IF(AND(ISNUMBER($G$5),ABS(O362)&gt;$G$5),"Revisa el descuadre",IF(AND(ISNUMBER(J362),ISNUMBER(E362)),IF(ROUND(J362-E362,2)&lt;&gt;0,"El datáfono no cuadra con la tarjeta",""),"")),IF(AND(ISNUMBER(J362),ISNUMBER(E362)),IF(ROUND(J362-E362,2)&lt;&gt;0,"El datáfono no cuadra con la tarjeta",""),""))</f>
        <v/>
      </c>
      <c r="Q362" s="4" t="n"/>
    </row>
    <row r="363">
      <c r="A363" s="7" t="n"/>
      <c r="B363" t="str">
        <f>IF(ISNUMBER(A363),CHOOSE(WEEKDAY(A363,2),"lunes","martes","miércoles","jueves","viernes","sábado","domingo"),"")</f>
        <v/>
      </c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  <c r="L363" s="8" t="str">
        <f>IF(AND(ISNUMBER(A363),COUNT(D363:F363)&gt;0),N(D363)+N(E363)+N(F363),"")</f>
        <v/>
      </c>
      <c r="M363" s="8" t="str">
        <f>IF(AND(ISNUMBER(L363),ISNUMBER($C$5),$C$5&gt;=0),ROUND(L363/(1+$C$5/100),2),"")</f>
        <v/>
      </c>
      <c r="N363" s="8" t="str">
        <f>IF(AND(ISNUMBER(A363),COUNT(C363:D363)&gt;0),N(C363)+N(D363)-N(G363)-N(H363),"")</f>
        <v/>
      </c>
      <c r="O363" s="8" t="str">
        <f>IF(AND(ISNUMBER(N363),ISNUMBER(I363)),ROUND(I363-N363,2),"")</f>
        <v/>
      </c>
      <c r="P363" s="9" t="str">
        <f>IF(ISNUMBER(O363),IF(AND(ISNUMBER($G$5),ABS(O363)&gt;$G$5),"Revisa el descuadre",IF(AND(ISNUMBER(J363),ISNUMBER(E363)),IF(ROUND(J363-E363,2)&lt;&gt;0,"El datáfono no cuadra con la tarjeta",""),"")),IF(AND(ISNUMBER(J363),ISNUMBER(E363)),IF(ROUND(J363-E363,2)&lt;&gt;0,"El datáfono no cuadra con la tarjeta",""),""))</f>
        <v/>
      </c>
      <c r="Q363" s="4" t="n"/>
    </row>
    <row r="364">
      <c r="A364" s="7" t="n"/>
      <c r="B364" t="str">
        <f>IF(ISNUMBER(A364),CHOOSE(WEEKDAY(A364,2),"lunes","martes","miércoles","jueves","viernes","sábado","domingo"),"")</f>
        <v/>
      </c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  <c r="L364" s="8" t="str">
        <f>IF(AND(ISNUMBER(A364),COUNT(D364:F364)&gt;0),N(D364)+N(E364)+N(F364),"")</f>
        <v/>
      </c>
      <c r="M364" s="8" t="str">
        <f>IF(AND(ISNUMBER(L364),ISNUMBER($C$5),$C$5&gt;=0),ROUND(L364/(1+$C$5/100),2),"")</f>
        <v/>
      </c>
      <c r="N364" s="8" t="str">
        <f>IF(AND(ISNUMBER(A364),COUNT(C364:D364)&gt;0),N(C364)+N(D364)-N(G364)-N(H364),"")</f>
        <v/>
      </c>
      <c r="O364" s="8" t="str">
        <f>IF(AND(ISNUMBER(N364),ISNUMBER(I364)),ROUND(I364-N364,2),"")</f>
        <v/>
      </c>
      <c r="P364" s="9" t="str">
        <f>IF(ISNUMBER(O364),IF(AND(ISNUMBER($G$5),ABS(O364)&gt;$G$5),"Revisa el descuadre",IF(AND(ISNUMBER(J364),ISNUMBER(E364)),IF(ROUND(J364-E364,2)&lt;&gt;0,"El datáfono no cuadra con la tarjeta",""),"")),IF(AND(ISNUMBER(J364),ISNUMBER(E364)),IF(ROUND(J364-E364,2)&lt;&gt;0,"El datáfono no cuadra con la tarjeta",""),""))</f>
        <v/>
      </c>
      <c r="Q364" s="4" t="n"/>
    </row>
    <row r="365">
      <c r="A365" s="7" t="n"/>
      <c r="B365" t="str">
        <f>IF(ISNUMBER(A365),CHOOSE(WEEKDAY(A365,2),"lunes","martes","miércoles","jueves","viernes","sábado","domingo"),"")</f>
        <v/>
      </c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  <c r="L365" s="8" t="str">
        <f>IF(AND(ISNUMBER(A365),COUNT(D365:F365)&gt;0),N(D365)+N(E365)+N(F365),"")</f>
        <v/>
      </c>
      <c r="M365" s="8" t="str">
        <f>IF(AND(ISNUMBER(L365),ISNUMBER($C$5),$C$5&gt;=0),ROUND(L365/(1+$C$5/100),2),"")</f>
        <v/>
      </c>
      <c r="N365" s="8" t="str">
        <f>IF(AND(ISNUMBER(A365),COUNT(C365:D365)&gt;0),N(C365)+N(D365)-N(G365)-N(H365),"")</f>
        <v/>
      </c>
      <c r="O365" s="8" t="str">
        <f>IF(AND(ISNUMBER(N365),ISNUMBER(I365)),ROUND(I365-N365,2),"")</f>
        <v/>
      </c>
      <c r="P365" s="9" t="str">
        <f>IF(ISNUMBER(O365),IF(AND(ISNUMBER($G$5),ABS(O365)&gt;$G$5),"Revisa el descuadre",IF(AND(ISNUMBER(J365),ISNUMBER(E365)),IF(ROUND(J365-E365,2)&lt;&gt;0,"El datáfono no cuadra con la tarjeta",""),"")),IF(AND(ISNUMBER(J365),ISNUMBER(E365)),IF(ROUND(J365-E365,2)&lt;&gt;0,"El datáfono no cuadra con la tarjeta",""),""))</f>
        <v/>
      </c>
      <c r="Q365" s="4" t="n"/>
    </row>
    <row r="366">
      <c r="A366" s="7" t="n"/>
      <c r="B366" t="str">
        <f>IF(ISNUMBER(A366),CHOOSE(WEEKDAY(A366,2),"lunes","martes","miércoles","jueves","viernes","sábado","domingo"),"")</f>
        <v/>
      </c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  <c r="L366" s="8" t="str">
        <f>IF(AND(ISNUMBER(A366),COUNT(D366:F366)&gt;0),N(D366)+N(E366)+N(F366),"")</f>
        <v/>
      </c>
      <c r="M366" s="8" t="str">
        <f>IF(AND(ISNUMBER(L366),ISNUMBER($C$5),$C$5&gt;=0),ROUND(L366/(1+$C$5/100),2),"")</f>
        <v/>
      </c>
      <c r="N366" s="8" t="str">
        <f>IF(AND(ISNUMBER(A366),COUNT(C366:D366)&gt;0),N(C366)+N(D366)-N(G366)-N(H366),"")</f>
        <v/>
      </c>
      <c r="O366" s="8" t="str">
        <f>IF(AND(ISNUMBER(N366),ISNUMBER(I366)),ROUND(I366-N366,2),"")</f>
        <v/>
      </c>
      <c r="P366" s="9" t="str">
        <f>IF(ISNUMBER(O366),IF(AND(ISNUMBER($G$5),ABS(O366)&gt;$G$5),"Revisa el descuadre",IF(AND(ISNUMBER(J366),ISNUMBER(E366)),IF(ROUND(J366-E366,2)&lt;&gt;0,"El datáfono no cuadra con la tarjeta",""),"")),IF(AND(ISNUMBER(J366),ISNUMBER(E366)),IF(ROUND(J366-E366,2)&lt;&gt;0,"El datáfono no cuadra con la tarjeta",""),""))</f>
        <v/>
      </c>
      <c r="Q366" s="4" t="n"/>
    </row>
    <row r="367">
      <c r="A367" s="7" t="n"/>
      <c r="B367" t="str">
        <f>IF(ISNUMBER(A367),CHOOSE(WEEKDAY(A367,2),"lunes","martes","miércoles","jueves","viernes","sábado","domingo"),"")</f>
        <v/>
      </c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  <c r="L367" s="8" t="str">
        <f>IF(AND(ISNUMBER(A367),COUNT(D367:F367)&gt;0),N(D367)+N(E367)+N(F367),"")</f>
        <v/>
      </c>
      <c r="M367" s="8" t="str">
        <f>IF(AND(ISNUMBER(L367),ISNUMBER($C$5),$C$5&gt;=0),ROUND(L367/(1+$C$5/100),2),"")</f>
        <v/>
      </c>
      <c r="N367" s="8" t="str">
        <f>IF(AND(ISNUMBER(A367),COUNT(C367:D367)&gt;0),N(C367)+N(D367)-N(G367)-N(H367),"")</f>
        <v/>
      </c>
      <c r="O367" s="8" t="str">
        <f>IF(AND(ISNUMBER(N367),ISNUMBER(I367)),ROUND(I367-N367,2),"")</f>
        <v/>
      </c>
      <c r="P367" s="9" t="str">
        <f>IF(ISNUMBER(O367),IF(AND(ISNUMBER($G$5),ABS(O367)&gt;$G$5),"Revisa el descuadre",IF(AND(ISNUMBER(J367),ISNUMBER(E367)),IF(ROUND(J367-E367,2)&lt;&gt;0,"El datáfono no cuadra con la tarjeta",""),"")),IF(AND(ISNUMBER(J367),ISNUMBER(E367)),IF(ROUND(J367-E367,2)&lt;&gt;0,"El datáfono no cuadra con la tarjeta",""),""))</f>
        <v/>
      </c>
      <c r="Q367" s="4" t="n"/>
    </row>
    <row r="368">
      <c r="A368" s="7" t="n"/>
      <c r="B368" t="str">
        <f>IF(ISNUMBER(A368),CHOOSE(WEEKDAY(A368,2),"lunes","martes","miércoles","jueves","viernes","sábado","domingo"),"")</f>
        <v/>
      </c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  <c r="L368" s="8" t="str">
        <f>IF(AND(ISNUMBER(A368),COUNT(D368:F368)&gt;0),N(D368)+N(E368)+N(F368),"")</f>
        <v/>
      </c>
      <c r="M368" s="8" t="str">
        <f>IF(AND(ISNUMBER(L368),ISNUMBER($C$5),$C$5&gt;=0),ROUND(L368/(1+$C$5/100),2),"")</f>
        <v/>
      </c>
      <c r="N368" s="8" t="str">
        <f>IF(AND(ISNUMBER(A368),COUNT(C368:D368)&gt;0),N(C368)+N(D368)-N(G368)-N(H368),"")</f>
        <v/>
      </c>
      <c r="O368" s="8" t="str">
        <f>IF(AND(ISNUMBER(N368),ISNUMBER(I368)),ROUND(I368-N368,2),"")</f>
        <v/>
      </c>
      <c r="P368" s="9" t="str">
        <f>IF(ISNUMBER(O368),IF(AND(ISNUMBER($G$5),ABS(O368)&gt;$G$5),"Revisa el descuadre",IF(AND(ISNUMBER(J368),ISNUMBER(E368)),IF(ROUND(J368-E368,2)&lt;&gt;0,"El datáfono no cuadra con la tarjeta",""),"")),IF(AND(ISNUMBER(J368),ISNUMBER(E368)),IF(ROUND(J368-E368,2)&lt;&gt;0,"El datáfono no cuadra con la tarjeta",""),""))</f>
        <v/>
      </c>
      <c r="Q368" s="4" t="n"/>
    </row>
    <row r="369">
      <c r="A369" s="7" t="n"/>
      <c r="B369" t="str">
        <f>IF(ISNUMBER(A369),CHOOSE(WEEKDAY(A369,2),"lunes","martes","miércoles","jueves","viernes","sábado","domingo"),"")</f>
        <v/>
      </c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  <c r="L369" s="8" t="str">
        <f>IF(AND(ISNUMBER(A369),COUNT(D369:F369)&gt;0),N(D369)+N(E369)+N(F369),"")</f>
        <v/>
      </c>
      <c r="M369" s="8" t="str">
        <f>IF(AND(ISNUMBER(L369),ISNUMBER($C$5),$C$5&gt;=0),ROUND(L369/(1+$C$5/100),2),"")</f>
        <v/>
      </c>
      <c r="N369" s="8" t="str">
        <f>IF(AND(ISNUMBER(A369),COUNT(C369:D369)&gt;0),N(C369)+N(D369)-N(G369)-N(H369),"")</f>
        <v/>
      </c>
      <c r="O369" s="8" t="str">
        <f>IF(AND(ISNUMBER(N369),ISNUMBER(I369)),ROUND(I369-N369,2),"")</f>
        <v/>
      </c>
      <c r="P369" s="9" t="str">
        <f>IF(ISNUMBER(O369),IF(AND(ISNUMBER($G$5),ABS(O369)&gt;$G$5),"Revisa el descuadre",IF(AND(ISNUMBER(J369),ISNUMBER(E369)),IF(ROUND(J369-E369,2)&lt;&gt;0,"El datáfono no cuadra con la tarjeta",""),"")),IF(AND(ISNUMBER(J369),ISNUMBER(E369)),IF(ROUND(J369-E369,2)&lt;&gt;0,"El datáfono no cuadra con la tarjeta",""),""))</f>
        <v/>
      </c>
      <c r="Q369" s="4" t="n"/>
    </row>
    <row r="370">
      <c r="A370" s="7" t="n"/>
      <c r="B370" t="str">
        <f>IF(ISNUMBER(A370),CHOOSE(WEEKDAY(A370,2),"lunes","martes","miércoles","jueves","viernes","sábado","domingo"),"")</f>
        <v/>
      </c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  <c r="L370" s="8" t="str">
        <f>IF(AND(ISNUMBER(A370),COUNT(D370:F370)&gt;0),N(D370)+N(E370)+N(F370),"")</f>
        <v/>
      </c>
      <c r="M370" s="8" t="str">
        <f>IF(AND(ISNUMBER(L370),ISNUMBER($C$5),$C$5&gt;=0),ROUND(L370/(1+$C$5/100),2),"")</f>
        <v/>
      </c>
      <c r="N370" s="8" t="str">
        <f>IF(AND(ISNUMBER(A370),COUNT(C370:D370)&gt;0),N(C370)+N(D370)-N(G370)-N(H370),"")</f>
        <v/>
      </c>
      <c r="O370" s="8" t="str">
        <f>IF(AND(ISNUMBER(N370),ISNUMBER(I370)),ROUND(I370-N370,2),"")</f>
        <v/>
      </c>
      <c r="P370" s="9" t="str">
        <f>IF(ISNUMBER(O370),IF(AND(ISNUMBER($G$5),ABS(O370)&gt;$G$5),"Revisa el descuadre",IF(AND(ISNUMBER(J370),ISNUMBER(E370)),IF(ROUND(J370-E370,2)&lt;&gt;0,"El datáfono no cuadra con la tarjeta",""),"")),IF(AND(ISNUMBER(J370),ISNUMBER(E370)),IF(ROUND(J370-E370,2)&lt;&gt;0,"El datáfono no cuadra con la tarjeta",""),""))</f>
        <v/>
      </c>
      <c r="Q370" s="4" t="n"/>
    </row>
    <row r="371">
      <c r="A371" s="7" t="n"/>
      <c r="B371" t="str">
        <f>IF(ISNUMBER(A371),CHOOSE(WEEKDAY(A371,2),"lunes","martes","miércoles","jueves","viernes","sábado","domingo"),"")</f>
        <v/>
      </c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  <c r="L371" s="8" t="str">
        <f>IF(AND(ISNUMBER(A371),COUNT(D371:F371)&gt;0),N(D371)+N(E371)+N(F371),"")</f>
        <v/>
      </c>
      <c r="M371" s="8" t="str">
        <f>IF(AND(ISNUMBER(L371),ISNUMBER($C$5),$C$5&gt;=0),ROUND(L371/(1+$C$5/100),2),"")</f>
        <v/>
      </c>
      <c r="N371" s="8" t="str">
        <f>IF(AND(ISNUMBER(A371),COUNT(C371:D371)&gt;0),N(C371)+N(D371)-N(G371)-N(H371),"")</f>
        <v/>
      </c>
      <c r="O371" s="8" t="str">
        <f>IF(AND(ISNUMBER(N371),ISNUMBER(I371)),ROUND(I371-N371,2),"")</f>
        <v/>
      </c>
      <c r="P371" s="9" t="str">
        <f>IF(ISNUMBER(O371),IF(AND(ISNUMBER($G$5),ABS(O371)&gt;$G$5),"Revisa el descuadre",IF(AND(ISNUMBER(J371),ISNUMBER(E371)),IF(ROUND(J371-E371,2)&lt;&gt;0,"El datáfono no cuadra con la tarjeta",""),"")),IF(AND(ISNUMBER(J371),ISNUMBER(E371)),IF(ROUND(J371-E371,2)&lt;&gt;0,"El datáfono no cuadra con la tarjeta",""),""))</f>
        <v/>
      </c>
      <c r="Q371" s="4" t="n"/>
    </row>
    <row r="372">
      <c r="A372" s="7" t="n"/>
      <c r="B372" t="str">
        <f>IF(ISNUMBER(A372),CHOOSE(WEEKDAY(A372,2),"lunes","martes","miércoles","jueves","viernes","sábado","domingo"),"")</f>
        <v/>
      </c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  <c r="L372" s="8" t="str">
        <f>IF(AND(ISNUMBER(A372),COUNT(D372:F372)&gt;0),N(D372)+N(E372)+N(F372),"")</f>
        <v/>
      </c>
      <c r="M372" s="8" t="str">
        <f>IF(AND(ISNUMBER(L372),ISNUMBER($C$5),$C$5&gt;=0),ROUND(L372/(1+$C$5/100),2),"")</f>
        <v/>
      </c>
      <c r="N372" s="8" t="str">
        <f>IF(AND(ISNUMBER(A372),COUNT(C372:D372)&gt;0),N(C372)+N(D372)-N(G372)-N(H372),"")</f>
        <v/>
      </c>
      <c r="O372" s="8" t="str">
        <f>IF(AND(ISNUMBER(N372),ISNUMBER(I372)),ROUND(I372-N372,2),"")</f>
        <v/>
      </c>
      <c r="P372" s="9" t="str">
        <f>IF(ISNUMBER(O372),IF(AND(ISNUMBER($G$5),ABS(O372)&gt;$G$5),"Revisa el descuadre",IF(AND(ISNUMBER(J372),ISNUMBER(E372)),IF(ROUND(J372-E372,2)&lt;&gt;0,"El datáfono no cuadra con la tarjeta",""),"")),IF(AND(ISNUMBER(J372),ISNUMBER(E372)),IF(ROUND(J372-E372,2)&lt;&gt;0,"El datáfono no cuadra con la tarjeta",""),""))</f>
        <v/>
      </c>
      <c r="Q372" s="4" t="n"/>
    </row>
    <row r="373">
      <c r="A373" s="7" t="n"/>
      <c r="B373" t="str">
        <f>IF(ISNUMBER(A373),CHOOSE(WEEKDAY(A373,2),"lunes","martes","miércoles","jueves","viernes","sábado","domingo"),"")</f>
        <v/>
      </c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  <c r="L373" s="8" t="str">
        <f>IF(AND(ISNUMBER(A373),COUNT(D373:F373)&gt;0),N(D373)+N(E373)+N(F373),"")</f>
        <v/>
      </c>
      <c r="M373" s="8" t="str">
        <f>IF(AND(ISNUMBER(L373),ISNUMBER($C$5),$C$5&gt;=0),ROUND(L373/(1+$C$5/100),2),"")</f>
        <v/>
      </c>
      <c r="N373" s="8" t="str">
        <f>IF(AND(ISNUMBER(A373),COUNT(C373:D373)&gt;0),N(C373)+N(D373)-N(G373)-N(H373),"")</f>
        <v/>
      </c>
      <c r="O373" s="8" t="str">
        <f>IF(AND(ISNUMBER(N373),ISNUMBER(I373)),ROUND(I373-N373,2),"")</f>
        <v/>
      </c>
      <c r="P373" s="9" t="str">
        <f>IF(ISNUMBER(O373),IF(AND(ISNUMBER($G$5),ABS(O373)&gt;$G$5),"Revisa el descuadre",IF(AND(ISNUMBER(J373),ISNUMBER(E373)),IF(ROUND(J373-E373,2)&lt;&gt;0,"El datáfono no cuadra con la tarjeta",""),"")),IF(AND(ISNUMBER(J373),ISNUMBER(E373)),IF(ROUND(J373-E373,2)&lt;&gt;0,"El datáfono no cuadra con la tarjeta",""),""))</f>
        <v/>
      </c>
      <c r="Q373" s="4" t="n"/>
    </row>
  </sheetData>
  <dataValidations count="2">
    <dataValidation sqref="C8:K373 G5" showDropDown="0" showInputMessage="0" showErrorMessage="1" allowBlank="1" errorTitle="Importe no válido" error="Escribe un importe igual o mayor que 0." type="decimal" operator="greaterThanOrEqual">
      <formula1>0</formula1>
    </dataValidation>
    <dataValidation sqref="C5" showDropDown="0" showInputMessage="0" showErrorMessage="1" allowBlank="1" errorTitle="IVA no válido" error="Escribe un número entre 0 y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8" customWidth="1" min="5" max="5"/>
    <col width="16" customWidth="1" min="6" max="6"/>
    <col width="20" customWidth="1" min="7" max="7"/>
  </cols>
  <sheetData>
    <row r="1">
      <c r="A1" s="1" t="inlineStr">
        <is>
          <t>Resumen del año</t>
        </is>
      </c>
    </row>
    <row r="2">
      <c r="A2" s="2" t="inlineStr">
        <is>
          <t>Se calcula solo a partir de la hoja «Registro». Ventas sin IVA.</t>
        </is>
      </c>
    </row>
    <row r="4">
      <c r="A4" s="3" t="inlineStr">
        <is>
          <t>Año</t>
        </is>
      </c>
      <c r="B4" s="4" t="n">
        <v>2026</v>
      </c>
      <c r="D4" s="3" t="inlineStr">
        <is>
          <t>Umbral diario del punto de equilibrio (€, sin IVA)</t>
        </is>
      </c>
      <c r="F4" s="5" t="n"/>
      <c r="G4" s="2" t="inlineStr">
        <is>
          <t>Opcional: sale de la calculadora de punto de equilibrio de diariodehosteleria.com</t>
        </is>
      </c>
    </row>
    <row r="6">
      <c r="A6" s="10" t="inlineStr">
        <is>
          <t>Mes</t>
        </is>
      </c>
      <c r="B6" s="10" t="inlineStr">
        <is>
          <t>Días con datos</t>
        </is>
      </c>
      <c r="C6" s="10" t="inlineStr">
        <is>
          <t>Ventas sin IVA</t>
        </is>
      </c>
      <c r="D6" s="10" t="inlineStr">
        <is>
          <t>Media por día</t>
        </is>
      </c>
      <c r="E6" s="10" t="inlineStr">
        <is>
          <t>Descuadres (suma)</t>
        </is>
      </c>
      <c r="F6" s="10" t="inlineStr">
        <is>
          <t>Días por encima del umbral</t>
        </is>
      </c>
    </row>
    <row r="7">
      <c r="A7" t="inlineStr">
        <is>
          <t>enero</t>
        </is>
      </c>
      <c r="B7" t="str">
        <f>COUNTIFS(Registro!$A$8:$A$373,"&gt;="&amp;DATE($B$4,1,1),Registro!$A$8:$A$373,"&lt;"&amp;DATE($B$4,2,1),Registro!$M$8:$M$373,"&gt;=0")</f>
        <v/>
      </c>
      <c r="C7" s="8" t="str">
        <f>SUMIFS(Registro!$M$8:$M$373,Registro!$A$8:$A$373,"&gt;="&amp;DATE($B$4,1,1),Registro!$A$8:$A$373,"&lt;"&amp;DATE($B$4,2,1))</f>
        <v/>
      </c>
      <c r="D7" s="8" t="str">
        <f>IF(B7=0,"",C7/B7)</f>
        <v/>
      </c>
      <c r="E7" s="8" t="str">
        <f>SUMIFS(Registro!$O$8:$O$373,Registro!$A$8:$A$373,"&gt;="&amp;DATE($B$4,1,1),Registro!$A$8:$A$373,"&lt;"&amp;DATE($B$4,2,1))</f>
        <v/>
      </c>
      <c r="F7" t="str">
        <f>IF(ISNUMBER($F$4),COUNTIFS(Registro!$A$8:$A$373,"&gt;="&amp;DATE($B$4,1,1),Registro!$A$8:$A$373,"&lt;"&amp;DATE($B$4,2,1),Registro!$M$8:$M$373,"&gt;="&amp;$F$4),"")</f>
        <v/>
      </c>
    </row>
    <row r="8">
      <c r="A8" t="inlineStr">
        <is>
          <t>febrero</t>
        </is>
      </c>
      <c r="B8" t="str">
        <f>COUNTIFS(Registro!$A$8:$A$373,"&gt;="&amp;DATE($B$4,2,1),Registro!$A$8:$A$373,"&lt;"&amp;DATE($B$4,3,1),Registro!$M$8:$M$373,"&gt;=0")</f>
        <v/>
      </c>
      <c r="C8" s="8" t="str">
        <f>SUMIFS(Registro!$M$8:$M$373,Registro!$A$8:$A$373,"&gt;="&amp;DATE($B$4,2,1),Registro!$A$8:$A$373,"&lt;"&amp;DATE($B$4,3,1))</f>
        <v/>
      </c>
      <c r="D8" s="8" t="str">
        <f>IF(B8=0,"",C8/B8)</f>
        <v/>
      </c>
      <c r="E8" s="8" t="str">
        <f>SUMIFS(Registro!$O$8:$O$373,Registro!$A$8:$A$373,"&gt;="&amp;DATE($B$4,2,1),Registro!$A$8:$A$373,"&lt;"&amp;DATE($B$4,3,1))</f>
        <v/>
      </c>
      <c r="F8" t="str">
        <f>IF(ISNUMBER($F$4),COUNTIFS(Registro!$A$8:$A$373,"&gt;="&amp;DATE($B$4,2,1),Registro!$A$8:$A$373,"&lt;"&amp;DATE($B$4,3,1),Registro!$M$8:$M$373,"&gt;="&amp;$F$4),"")</f>
        <v/>
      </c>
    </row>
    <row r="9">
      <c r="A9" t="inlineStr">
        <is>
          <t>marzo</t>
        </is>
      </c>
      <c r="B9" t="str">
        <f>COUNTIFS(Registro!$A$8:$A$373,"&gt;="&amp;DATE($B$4,3,1),Registro!$A$8:$A$373,"&lt;"&amp;DATE($B$4,4,1),Registro!$M$8:$M$373,"&gt;=0")</f>
        <v/>
      </c>
      <c r="C9" s="8" t="str">
        <f>SUMIFS(Registro!$M$8:$M$373,Registro!$A$8:$A$373,"&gt;="&amp;DATE($B$4,3,1),Registro!$A$8:$A$373,"&lt;"&amp;DATE($B$4,4,1))</f>
        <v/>
      </c>
      <c r="D9" s="8" t="str">
        <f>IF(B9=0,"",C9/B9)</f>
        <v/>
      </c>
      <c r="E9" s="8" t="str">
        <f>SUMIFS(Registro!$O$8:$O$373,Registro!$A$8:$A$373,"&gt;="&amp;DATE($B$4,3,1),Registro!$A$8:$A$373,"&lt;"&amp;DATE($B$4,4,1))</f>
        <v/>
      </c>
      <c r="F9" t="str">
        <f>IF(ISNUMBER($F$4),COUNTIFS(Registro!$A$8:$A$373,"&gt;="&amp;DATE($B$4,3,1),Registro!$A$8:$A$373,"&lt;"&amp;DATE($B$4,4,1),Registro!$M$8:$M$373,"&gt;="&amp;$F$4),"")</f>
        <v/>
      </c>
    </row>
    <row r="10">
      <c r="A10" t="inlineStr">
        <is>
          <t>abril</t>
        </is>
      </c>
      <c r="B10" t="str">
        <f>COUNTIFS(Registro!$A$8:$A$373,"&gt;="&amp;DATE($B$4,4,1),Registro!$A$8:$A$373,"&lt;"&amp;DATE($B$4,5,1),Registro!$M$8:$M$373,"&gt;=0")</f>
        <v/>
      </c>
      <c r="C10" s="8" t="str">
        <f>SUMIFS(Registro!$M$8:$M$373,Registro!$A$8:$A$373,"&gt;="&amp;DATE($B$4,4,1),Registro!$A$8:$A$373,"&lt;"&amp;DATE($B$4,5,1))</f>
        <v/>
      </c>
      <c r="D10" s="8" t="str">
        <f>IF(B10=0,"",C10/B10)</f>
        <v/>
      </c>
      <c r="E10" s="8" t="str">
        <f>SUMIFS(Registro!$O$8:$O$373,Registro!$A$8:$A$373,"&gt;="&amp;DATE($B$4,4,1),Registro!$A$8:$A$373,"&lt;"&amp;DATE($B$4,5,1))</f>
        <v/>
      </c>
      <c r="F10" t="str">
        <f>IF(ISNUMBER($F$4),COUNTIFS(Registro!$A$8:$A$373,"&gt;="&amp;DATE($B$4,4,1),Registro!$A$8:$A$373,"&lt;"&amp;DATE($B$4,5,1),Registro!$M$8:$M$373,"&gt;="&amp;$F$4),"")</f>
        <v/>
      </c>
    </row>
    <row r="11">
      <c r="A11" t="inlineStr">
        <is>
          <t>mayo</t>
        </is>
      </c>
      <c r="B11" t="str">
        <f>COUNTIFS(Registro!$A$8:$A$373,"&gt;="&amp;DATE($B$4,5,1),Registro!$A$8:$A$373,"&lt;"&amp;DATE($B$4,6,1),Registro!$M$8:$M$373,"&gt;=0")</f>
        <v/>
      </c>
      <c r="C11" s="8" t="str">
        <f>SUMIFS(Registro!$M$8:$M$373,Registro!$A$8:$A$373,"&gt;="&amp;DATE($B$4,5,1),Registro!$A$8:$A$373,"&lt;"&amp;DATE($B$4,6,1))</f>
        <v/>
      </c>
      <c r="D11" s="8" t="str">
        <f>IF(B11=0,"",C11/B11)</f>
        <v/>
      </c>
      <c r="E11" s="8" t="str">
        <f>SUMIFS(Registro!$O$8:$O$373,Registro!$A$8:$A$373,"&gt;="&amp;DATE($B$4,5,1),Registro!$A$8:$A$373,"&lt;"&amp;DATE($B$4,6,1))</f>
        <v/>
      </c>
      <c r="F11" t="str">
        <f>IF(ISNUMBER($F$4),COUNTIFS(Registro!$A$8:$A$373,"&gt;="&amp;DATE($B$4,5,1),Registro!$A$8:$A$373,"&lt;"&amp;DATE($B$4,6,1),Registro!$M$8:$M$373,"&gt;="&amp;$F$4),"")</f>
        <v/>
      </c>
    </row>
    <row r="12">
      <c r="A12" t="inlineStr">
        <is>
          <t>junio</t>
        </is>
      </c>
      <c r="B12" t="str">
        <f>COUNTIFS(Registro!$A$8:$A$373,"&gt;="&amp;DATE($B$4,6,1),Registro!$A$8:$A$373,"&lt;"&amp;DATE($B$4,7,1),Registro!$M$8:$M$373,"&gt;=0")</f>
        <v/>
      </c>
      <c r="C12" s="8" t="str">
        <f>SUMIFS(Registro!$M$8:$M$373,Registro!$A$8:$A$373,"&gt;="&amp;DATE($B$4,6,1),Registro!$A$8:$A$373,"&lt;"&amp;DATE($B$4,7,1))</f>
        <v/>
      </c>
      <c r="D12" s="8" t="str">
        <f>IF(B12=0,"",C12/B12)</f>
        <v/>
      </c>
      <c r="E12" s="8" t="str">
        <f>SUMIFS(Registro!$O$8:$O$373,Registro!$A$8:$A$373,"&gt;="&amp;DATE($B$4,6,1),Registro!$A$8:$A$373,"&lt;"&amp;DATE($B$4,7,1))</f>
        <v/>
      </c>
      <c r="F12" t="str">
        <f>IF(ISNUMBER($F$4),COUNTIFS(Registro!$A$8:$A$373,"&gt;="&amp;DATE($B$4,6,1),Registro!$A$8:$A$373,"&lt;"&amp;DATE($B$4,7,1),Registro!$M$8:$M$373,"&gt;="&amp;$F$4),"")</f>
        <v/>
      </c>
    </row>
    <row r="13">
      <c r="A13" t="inlineStr">
        <is>
          <t>julio</t>
        </is>
      </c>
      <c r="B13" t="str">
        <f>COUNTIFS(Registro!$A$8:$A$373,"&gt;="&amp;DATE($B$4,7,1),Registro!$A$8:$A$373,"&lt;"&amp;DATE($B$4,8,1),Registro!$M$8:$M$373,"&gt;=0")</f>
        <v/>
      </c>
      <c r="C13" s="8" t="str">
        <f>SUMIFS(Registro!$M$8:$M$373,Registro!$A$8:$A$373,"&gt;="&amp;DATE($B$4,7,1),Registro!$A$8:$A$373,"&lt;"&amp;DATE($B$4,8,1))</f>
        <v/>
      </c>
      <c r="D13" s="8" t="str">
        <f>IF(B13=0,"",C13/B13)</f>
        <v/>
      </c>
      <c r="E13" s="8" t="str">
        <f>SUMIFS(Registro!$O$8:$O$373,Registro!$A$8:$A$373,"&gt;="&amp;DATE($B$4,7,1),Registro!$A$8:$A$373,"&lt;"&amp;DATE($B$4,8,1))</f>
        <v/>
      </c>
      <c r="F13" t="str">
        <f>IF(ISNUMBER($F$4),COUNTIFS(Registro!$A$8:$A$373,"&gt;="&amp;DATE($B$4,7,1),Registro!$A$8:$A$373,"&lt;"&amp;DATE($B$4,8,1),Registro!$M$8:$M$373,"&gt;="&amp;$F$4),"")</f>
        <v/>
      </c>
    </row>
    <row r="14">
      <c r="A14" t="inlineStr">
        <is>
          <t>agosto</t>
        </is>
      </c>
      <c r="B14" t="str">
        <f>COUNTIFS(Registro!$A$8:$A$373,"&gt;="&amp;DATE($B$4,8,1),Registro!$A$8:$A$373,"&lt;"&amp;DATE($B$4,9,1),Registro!$M$8:$M$373,"&gt;=0")</f>
        <v/>
      </c>
      <c r="C14" s="8" t="str">
        <f>SUMIFS(Registro!$M$8:$M$373,Registro!$A$8:$A$373,"&gt;="&amp;DATE($B$4,8,1),Registro!$A$8:$A$373,"&lt;"&amp;DATE($B$4,9,1))</f>
        <v/>
      </c>
      <c r="D14" s="8" t="str">
        <f>IF(B14=0,"",C14/B14)</f>
        <v/>
      </c>
      <c r="E14" s="8" t="str">
        <f>SUMIFS(Registro!$O$8:$O$373,Registro!$A$8:$A$373,"&gt;="&amp;DATE($B$4,8,1),Registro!$A$8:$A$373,"&lt;"&amp;DATE($B$4,9,1))</f>
        <v/>
      </c>
      <c r="F14" t="str">
        <f>IF(ISNUMBER($F$4),COUNTIFS(Registro!$A$8:$A$373,"&gt;="&amp;DATE($B$4,8,1),Registro!$A$8:$A$373,"&lt;"&amp;DATE($B$4,9,1),Registro!$M$8:$M$373,"&gt;="&amp;$F$4),"")</f>
        <v/>
      </c>
    </row>
    <row r="15">
      <c r="A15" t="inlineStr">
        <is>
          <t>septiembre</t>
        </is>
      </c>
      <c r="B15" t="str">
        <f>COUNTIFS(Registro!$A$8:$A$373,"&gt;="&amp;DATE($B$4,9,1),Registro!$A$8:$A$373,"&lt;"&amp;DATE($B$4,10,1),Registro!$M$8:$M$373,"&gt;=0")</f>
        <v/>
      </c>
      <c r="C15" s="8" t="str">
        <f>SUMIFS(Registro!$M$8:$M$373,Registro!$A$8:$A$373,"&gt;="&amp;DATE($B$4,9,1),Registro!$A$8:$A$373,"&lt;"&amp;DATE($B$4,10,1))</f>
        <v/>
      </c>
      <c r="D15" s="8" t="str">
        <f>IF(B15=0,"",C15/B15)</f>
        <v/>
      </c>
      <c r="E15" s="8" t="str">
        <f>SUMIFS(Registro!$O$8:$O$373,Registro!$A$8:$A$373,"&gt;="&amp;DATE($B$4,9,1),Registro!$A$8:$A$373,"&lt;"&amp;DATE($B$4,10,1))</f>
        <v/>
      </c>
      <c r="F15" t="str">
        <f>IF(ISNUMBER($F$4),COUNTIFS(Registro!$A$8:$A$373,"&gt;="&amp;DATE($B$4,9,1),Registro!$A$8:$A$373,"&lt;"&amp;DATE($B$4,10,1),Registro!$M$8:$M$373,"&gt;="&amp;$F$4),"")</f>
        <v/>
      </c>
    </row>
    <row r="16">
      <c r="A16" t="inlineStr">
        <is>
          <t>octubre</t>
        </is>
      </c>
      <c r="B16" t="str">
        <f>COUNTIFS(Registro!$A$8:$A$373,"&gt;="&amp;DATE($B$4,10,1),Registro!$A$8:$A$373,"&lt;"&amp;DATE($B$4,11,1),Registro!$M$8:$M$373,"&gt;=0")</f>
        <v/>
      </c>
      <c r="C16" s="8" t="str">
        <f>SUMIFS(Registro!$M$8:$M$373,Registro!$A$8:$A$373,"&gt;="&amp;DATE($B$4,10,1),Registro!$A$8:$A$373,"&lt;"&amp;DATE($B$4,11,1))</f>
        <v/>
      </c>
      <c r="D16" s="8" t="str">
        <f>IF(B16=0,"",C16/B16)</f>
        <v/>
      </c>
      <c r="E16" s="8" t="str">
        <f>SUMIFS(Registro!$O$8:$O$373,Registro!$A$8:$A$373,"&gt;="&amp;DATE($B$4,10,1),Registro!$A$8:$A$373,"&lt;"&amp;DATE($B$4,11,1))</f>
        <v/>
      </c>
      <c r="F16" t="str">
        <f>IF(ISNUMBER($F$4),COUNTIFS(Registro!$A$8:$A$373,"&gt;="&amp;DATE($B$4,10,1),Registro!$A$8:$A$373,"&lt;"&amp;DATE($B$4,11,1),Registro!$M$8:$M$373,"&gt;="&amp;$F$4),"")</f>
        <v/>
      </c>
    </row>
    <row r="17">
      <c r="A17" t="inlineStr">
        <is>
          <t>noviembre</t>
        </is>
      </c>
      <c r="B17" t="str">
        <f>COUNTIFS(Registro!$A$8:$A$373,"&gt;="&amp;DATE($B$4,11,1),Registro!$A$8:$A$373,"&lt;"&amp;DATE($B$4,12,1),Registro!$M$8:$M$373,"&gt;=0")</f>
        <v/>
      </c>
      <c r="C17" s="8" t="str">
        <f>SUMIFS(Registro!$M$8:$M$373,Registro!$A$8:$A$373,"&gt;="&amp;DATE($B$4,11,1),Registro!$A$8:$A$373,"&lt;"&amp;DATE($B$4,12,1))</f>
        <v/>
      </c>
      <c r="D17" s="8" t="str">
        <f>IF(B17=0,"",C17/B17)</f>
        <v/>
      </c>
      <c r="E17" s="8" t="str">
        <f>SUMIFS(Registro!$O$8:$O$373,Registro!$A$8:$A$373,"&gt;="&amp;DATE($B$4,11,1),Registro!$A$8:$A$373,"&lt;"&amp;DATE($B$4,12,1))</f>
        <v/>
      </c>
      <c r="F17" t="str">
        <f>IF(ISNUMBER($F$4),COUNTIFS(Registro!$A$8:$A$373,"&gt;="&amp;DATE($B$4,11,1),Registro!$A$8:$A$373,"&lt;"&amp;DATE($B$4,12,1),Registro!$M$8:$M$373,"&gt;="&amp;$F$4),"")</f>
        <v/>
      </c>
    </row>
    <row r="18">
      <c r="A18" t="inlineStr">
        <is>
          <t>diciembre</t>
        </is>
      </c>
      <c r="B18" t="str">
        <f>COUNTIFS(Registro!$A$8:$A$373,"&gt;="&amp;DATE($B$4,12,1),Registro!$A$8:$A$373,"&lt;"&amp;DATE($B$4,13,1),Registro!$M$8:$M$373,"&gt;=0")</f>
        <v/>
      </c>
      <c r="C18" s="8" t="str">
        <f>SUMIFS(Registro!$M$8:$M$373,Registro!$A$8:$A$373,"&gt;="&amp;DATE($B$4,12,1),Registro!$A$8:$A$373,"&lt;"&amp;DATE($B$4,13,1))</f>
        <v/>
      </c>
      <c r="D18" s="8" t="str">
        <f>IF(B18=0,"",C18/B18)</f>
        <v/>
      </c>
      <c r="E18" s="8" t="str">
        <f>SUMIFS(Registro!$O$8:$O$373,Registro!$A$8:$A$373,"&gt;="&amp;DATE($B$4,12,1),Registro!$A$8:$A$373,"&lt;"&amp;DATE($B$4,13,1))</f>
        <v/>
      </c>
      <c r="F18" t="str">
        <f>IF(ISNUMBER($F$4),COUNTIFS(Registro!$A$8:$A$373,"&gt;="&amp;DATE($B$4,12,1),Registro!$A$8:$A$373,"&lt;"&amp;DATE($B$4,13,1),Registro!$M$8:$M$373,"&gt;="&amp;$F$4),"")</f>
        <v/>
      </c>
    </row>
    <row r="19">
      <c r="A19" s="3" t="inlineStr">
        <is>
          <t>Total</t>
        </is>
      </c>
      <c r="B19" t="str">
        <f>SUM(B7:B18)</f>
        <v/>
      </c>
      <c r="C19" s="8" t="str">
        <f>SUM(C7:C18)</f>
        <v/>
      </c>
      <c r="D19" s="8" t="str">
        <f>IF(B19=0,"",C19/B19)</f>
        <v/>
      </c>
      <c r="E19" s="8" t="str">
        <f>SUM(E7:E18)</f>
        <v/>
      </c>
      <c r="F19" t="str">
        <f>SUM(F7:F18)</f>
        <v/>
      </c>
    </row>
    <row r="22">
      <c r="A22" s="3" t="inlineStr">
        <is>
          <t>Por día de la semana (todo el registro)</t>
        </is>
      </c>
    </row>
    <row r="23">
      <c r="A23" s="11" t="inlineStr">
        <is>
          <t>Día</t>
        </is>
      </c>
      <c r="B23" s="11" t="inlineStr">
        <is>
          <t>Días con datos</t>
        </is>
      </c>
      <c r="C23" s="11" t="inlineStr">
        <is>
          <t>Media de ventas sin IVA</t>
        </is>
      </c>
    </row>
    <row r="24">
      <c r="A24" t="inlineStr">
        <is>
          <t>lunes</t>
        </is>
      </c>
      <c r="B24" t="str">
        <f>COUNTIFS(Registro!$B$8:$B$373,A24,Registro!$M$8:$M$373,"&gt;=0")</f>
        <v/>
      </c>
      <c r="C24" s="8" t="str">
        <f>IF(B24=0,"",AVERAGEIFS(Registro!$M$8:$M$373,Registro!$B$8:$B$373,A24,Registro!$M$8:$M$373,"&gt;=0"))</f>
        <v/>
      </c>
    </row>
    <row r="25">
      <c r="A25" t="inlineStr">
        <is>
          <t>martes</t>
        </is>
      </c>
      <c r="B25" t="str">
        <f>COUNTIFS(Registro!$B$8:$B$373,A25,Registro!$M$8:$M$373,"&gt;=0")</f>
        <v/>
      </c>
      <c r="C25" s="8" t="str">
        <f>IF(B25=0,"",AVERAGEIFS(Registro!$M$8:$M$373,Registro!$B$8:$B$373,A25,Registro!$M$8:$M$373,"&gt;=0"))</f>
        <v/>
      </c>
    </row>
    <row r="26">
      <c r="A26" t="inlineStr">
        <is>
          <t>miércoles</t>
        </is>
      </c>
      <c r="B26" t="str">
        <f>COUNTIFS(Registro!$B$8:$B$373,A26,Registro!$M$8:$M$373,"&gt;=0")</f>
        <v/>
      </c>
      <c r="C26" s="8" t="str">
        <f>IF(B26=0,"",AVERAGEIFS(Registro!$M$8:$M$373,Registro!$B$8:$B$373,A26,Registro!$M$8:$M$373,"&gt;=0"))</f>
        <v/>
      </c>
    </row>
    <row r="27">
      <c r="A27" t="inlineStr">
        <is>
          <t>jueves</t>
        </is>
      </c>
      <c r="B27" t="str">
        <f>COUNTIFS(Registro!$B$8:$B$373,A27,Registro!$M$8:$M$373,"&gt;=0")</f>
        <v/>
      </c>
      <c r="C27" s="8" t="str">
        <f>IF(B27=0,"",AVERAGEIFS(Registro!$M$8:$M$373,Registro!$B$8:$B$373,A27,Registro!$M$8:$M$373,"&gt;=0"))</f>
        <v/>
      </c>
    </row>
    <row r="28">
      <c r="A28" t="inlineStr">
        <is>
          <t>viernes</t>
        </is>
      </c>
      <c r="B28" t="str">
        <f>COUNTIFS(Registro!$B$8:$B$373,A28,Registro!$M$8:$M$373,"&gt;=0")</f>
        <v/>
      </c>
      <c r="C28" s="8" t="str">
        <f>IF(B28=0,"",AVERAGEIFS(Registro!$M$8:$M$373,Registro!$B$8:$B$373,A28,Registro!$M$8:$M$373,"&gt;=0"))</f>
        <v/>
      </c>
    </row>
    <row r="29">
      <c r="A29" t="inlineStr">
        <is>
          <t>sábado</t>
        </is>
      </c>
      <c r="B29" t="str">
        <f>COUNTIFS(Registro!$B$8:$B$373,A29,Registro!$M$8:$M$373,"&gt;=0")</f>
        <v/>
      </c>
      <c r="C29" s="8" t="str">
        <f>IF(B29=0,"",AVERAGEIFS(Registro!$M$8:$M$373,Registro!$B$8:$B$373,A29,Registro!$M$8:$M$373,"&gt;=0"))</f>
        <v/>
      </c>
    </row>
    <row r="30">
      <c r="A30" t="inlineStr">
        <is>
          <t>domingo</t>
        </is>
      </c>
      <c r="B30" t="str">
        <f>COUNTIFS(Registro!$B$8:$B$373,A30,Registro!$M$8:$M$373,"&gt;=0")</f>
        <v/>
      </c>
      <c r="C30" s="8" t="str">
        <f>IF(B30=0,"",AVERAGEIFS(Registro!$M$8:$M$373,Registro!$B$8:$B$373,A30,Registro!$M$8:$M$373,"&gt;=0"))</f>
        <v/>
      </c>
    </row>
    <row r="32">
      <c r="A32" s="2" t="inlineStr">
        <is>
          <t>Así ves qué días y qué meses son fuertes o flojos, para prever compras y personal.</t>
        </is>
      </c>
    </row>
  </sheetData>
  <dataValidations count="2">
    <dataValidation sqref="B4" showDropDown="0" showInputMessage="0" showErrorMessage="1" allowBlank="1" errorTitle="Año no válido" error="Escribe el año con cuatro cifras." type="whole" operator="between">
      <formula1>2000</formula1>
      <formula2>2100</formula2>
    </dataValidation>
    <dataValidation sqref="F4" showDropDown="0" showInputMessage="0" showErrorMessage="1" allowBlank="1" errorTitle="Importe no válido" error="Escribe un importe igual o mayor que 0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</cols>
  <sheetData>
    <row r="1">
      <c r="A1" s="1" t="inlineStr">
        <is>
          <t>Recuento de billetes y monedas</t>
        </is>
      </c>
    </row>
    <row r="2">
      <c r="A2" s="2" t="inlineStr">
        <is>
          <t>Escribe cuántos hay de cada valor. Copia el total en «Efectivo contado» de la hoja «Registro».</t>
        </is>
      </c>
    </row>
    <row r="4">
      <c r="A4" s="11" t="inlineStr">
        <is>
          <t>Valor</t>
        </is>
      </c>
      <c r="B4" s="11" t="inlineStr">
        <is>
          <t>Cantidad</t>
        </is>
      </c>
      <c r="C4" s="11" t="inlineStr">
        <is>
          <t>Importe</t>
        </is>
      </c>
    </row>
    <row r="5">
      <c r="A5" s="8" t="n">
        <v>500</v>
      </c>
      <c r="B5" s="4" t="n"/>
      <c r="C5" s="8" t="str">
        <f>IF(ISNUMBER(B5),ROUND(A5*B5,2),"")</f>
        <v/>
      </c>
    </row>
    <row r="6">
      <c r="A6" s="8" t="n">
        <v>200</v>
      </c>
      <c r="B6" s="4" t="n"/>
      <c r="C6" s="8" t="str">
        <f>IF(ISNUMBER(B6),ROUND(A6*B6,2),"")</f>
        <v/>
      </c>
    </row>
    <row r="7">
      <c r="A7" s="8" t="n">
        <v>100</v>
      </c>
      <c r="B7" s="4" t="n"/>
      <c r="C7" s="8" t="str">
        <f>IF(ISNUMBER(B7),ROUND(A7*B7,2),"")</f>
        <v/>
      </c>
    </row>
    <row r="8">
      <c r="A8" s="8" t="n">
        <v>50</v>
      </c>
      <c r="B8" s="4" t="n"/>
      <c r="C8" s="8" t="str">
        <f>IF(ISNUMBER(B8),ROUND(A8*B8,2),"")</f>
        <v/>
      </c>
    </row>
    <row r="9">
      <c r="A9" s="8" t="n">
        <v>20</v>
      </c>
      <c r="B9" s="4" t="n"/>
      <c r="C9" s="8" t="str">
        <f>IF(ISNUMBER(B9),ROUND(A9*B9,2),"")</f>
        <v/>
      </c>
    </row>
    <row r="10">
      <c r="A10" s="8" t="n">
        <v>10</v>
      </c>
      <c r="B10" s="4" t="n"/>
      <c r="C10" s="8" t="str">
        <f>IF(ISNUMBER(B10),ROUND(A10*B10,2),"")</f>
        <v/>
      </c>
    </row>
    <row r="11">
      <c r="A11" s="8" t="n">
        <v>5</v>
      </c>
      <c r="B11" s="4" t="n"/>
      <c r="C11" s="8" t="str">
        <f>IF(ISNUMBER(B11),ROUND(A11*B11,2),"")</f>
        <v/>
      </c>
    </row>
    <row r="12">
      <c r="A12" s="8" t="n">
        <v>2</v>
      </c>
      <c r="B12" s="4" t="n"/>
      <c r="C12" s="8" t="str">
        <f>IF(ISNUMBER(B12),ROUND(A12*B12,2),"")</f>
        <v/>
      </c>
    </row>
    <row r="13">
      <c r="A13" s="8" t="n">
        <v>1</v>
      </c>
      <c r="B13" s="4" t="n"/>
      <c r="C13" s="8" t="str">
        <f>IF(ISNUMBER(B13),ROUND(A13*B13,2),"")</f>
        <v/>
      </c>
    </row>
    <row r="14">
      <c r="A14" s="8" t="n">
        <v>0.5</v>
      </c>
      <c r="B14" s="4" t="n"/>
      <c r="C14" s="8" t="str">
        <f>IF(ISNUMBER(B14),ROUND(A14*B14,2),"")</f>
        <v/>
      </c>
    </row>
    <row r="15">
      <c r="A15" s="8" t="n">
        <v>0.2</v>
      </c>
      <c r="B15" s="4" t="n"/>
      <c r="C15" s="8" t="str">
        <f>IF(ISNUMBER(B15),ROUND(A15*B15,2),"")</f>
        <v/>
      </c>
    </row>
    <row r="16">
      <c r="A16" s="8" t="n">
        <v>0.1</v>
      </c>
      <c r="B16" s="4" t="n"/>
      <c r="C16" s="8" t="str">
        <f>IF(ISNUMBER(B16),ROUND(A16*B16,2),"")</f>
        <v/>
      </c>
    </row>
    <row r="17">
      <c r="A17" s="8" t="n">
        <v>0.05</v>
      </c>
      <c r="B17" s="4" t="n"/>
      <c r="C17" s="8" t="str">
        <f>IF(ISNUMBER(B17),ROUND(A17*B17,2),"")</f>
        <v/>
      </c>
    </row>
    <row r="18">
      <c r="A18" s="8" t="n">
        <v>0.02</v>
      </c>
      <c r="B18" s="4" t="n"/>
      <c r="C18" s="8" t="str">
        <f>IF(ISNUMBER(B18),ROUND(A18*B18,2),"")</f>
        <v/>
      </c>
    </row>
    <row r="19">
      <c r="A19" s="8" t="n">
        <v>0.01</v>
      </c>
      <c r="B19" s="4" t="n"/>
      <c r="C19" s="8" t="str">
        <f>IF(ISNUMBER(B19),ROUND(A19*B19,2),"")</f>
        <v/>
      </c>
    </row>
    <row r="21">
      <c r="A21" s="3" t="inlineStr">
        <is>
          <t>Total contado</t>
        </is>
      </c>
      <c r="C21" s="12" t="str">
        <f>SUM(C5:C19)</f>
        <v/>
      </c>
    </row>
  </sheetData>
  <dataValidations count="1">
    <dataValidation sqref="B5:B19" showDropDown="0" showInputMessage="0" showErrorMessage="1" allowBlank="1" errorTitle="Cantidad no válida" error="Escribe un número entero igual o mayor que 0.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73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2" customWidth="1" min="4" max="4"/>
    <col width="12" customWidth="1" min="5" max="5"/>
    <col width="15" customWidth="1" min="6" max="6"/>
    <col width="12" customWidth="1" min="7" max="7"/>
    <col width="11" customWidth="1" min="8" max="8"/>
    <col width="12" customWidth="1" min="9" max="9"/>
    <col width="12" customWidth="1" min="10" max="10"/>
    <col width="11" customWidth="1" min="11" max="11"/>
    <col width="13" customWidth="1" min="12" max="12"/>
    <col width="12" customWidth="1" min="13" max="13"/>
    <col width="13" customWidth="1" min="14" max="14"/>
    <col width="12" customWidth="1" min="15" max="15"/>
    <col width="26" customWidth="1" min="16" max="16"/>
    <col width="32" customWidth="1" min="17" max="17"/>
  </cols>
  <sheetData>
    <row r="1">
      <c r="A1" s="1" t="inlineStr">
        <is>
          <t>Plantilla de cierre de caja · Diario de Hostelería</t>
        </is>
      </c>
    </row>
    <row r="2">
      <c r="A2" s="2" t="inlineStr">
        <is>
          <t>Ejemplo del artículo «Cierre de caja»: bar ficticio, cifras inventadas. El primer día es el del artículo.</t>
        </is>
      </c>
    </row>
    <row r="3">
      <c r="A3" s="2" t="inlineStr">
        <is>
          <t>Las propinas (bote) van aparte: no son ventas del negocio y no entran en el cuadre.</t>
        </is>
      </c>
    </row>
    <row r="5">
      <c r="A5" s="3" t="inlineStr">
        <is>
          <t>IVA de las ventas (%)</t>
        </is>
      </c>
      <c r="C5" s="4" t="n">
        <v>10</v>
      </c>
      <c r="E5" s="3" t="inlineStr">
        <is>
          <t>Avisar si el descuadre pasa de (€)</t>
        </is>
      </c>
      <c r="G5" s="5" t="n">
        <v>5</v>
      </c>
      <c r="I5" s="2" t="inlineStr">
        <is>
          <t>Escribe el número del IVA (10, 21…). La plantilla no decide qué IVA te corresponde.</t>
        </is>
      </c>
    </row>
    <row r="7" ht="48" customHeight="1">
      <c r="A7" s="6" t="inlineStr">
        <is>
          <t>Fecha</t>
        </is>
      </c>
      <c r="B7" s="6" t="inlineStr">
        <is>
          <t>Día</t>
        </is>
      </c>
      <c r="C7" s="6" t="inlineStr">
        <is>
          <t>Fondo inicial</t>
        </is>
      </c>
      <c r="D7" s="6" t="inlineStr">
        <is>
          <t>Ventas en efectivo</t>
        </is>
      </c>
      <c r="E7" s="6" t="inlineStr">
        <is>
          <t>Ventas con tarjeta</t>
        </is>
      </c>
      <c r="F7" s="6" t="inlineStr">
        <is>
          <t>Otros cobros (Bizum, transferencia)</t>
        </is>
      </c>
      <c r="G7" s="6" t="inlineStr">
        <is>
          <t>Pagos desde la caja</t>
        </is>
      </c>
      <c r="H7" s="6" t="inlineStr">
        <is>
          <t>Retiradas</t>
        </is>
      </c>
      <c r="I7" s="6" t="inlineStr">
        <is>
          <t>Efectivo contado</t>
        </is>
      </c>
      <c r="J7" s="6" t="inlineStr">
        <is>
          <t>Cierre del datáfono</t>
        </is>
      </c>
      <c r="K7" s="6" t="inlineStr">
        <is>
          <t>Bote (aparte)</t>
        </is>
      </c>
      <c r="L7" s="6" t="inlineStr">
        <is>
          <t>Ventas totales con IVA</t>
        </is>
      </c>
      <c r="M7" s="6" t="inlineStr">
        <is>
          <t>Ventas sin IVA</t>
        </is>
      </c>
      <c r="N7" s="6" t="inlineStr">
        <is>
          <t>Efectivo esperado</t>
        </is>
      </c>
      <c r="O7" s="6" t="inlineStr">
        <is>
          <t>Descuadre</t>
        </is>
      </c>
      <c r="P7" s="6" t="inlineStr">
        <is>
          <t>Aviso</t>
        </is>
      </c>
      <c r="Q7" s="6" t="inlineStr">
        <is>
          <t>Notas</t>
        </is>
      </c>
    </row>
    <row r="8">
      <c r="A8" s="7" t="n">
        <v>46300</v>
      </c>
      <c r="B8" t="str">
        <f>IF(ISNUMBER(A8),CHOOSE(WEEKDAY(A8,2),"lunes","martes","miércoles","jueves","viernes","sábado","domingo"),"")</f>
        <v/>
      </c>
      <c r="C8" s="5" t="n">
        <v>150</v>
      </c>
      <c r="D8" s="5" t="n">
        <v>612.4</v>
      </c>
      <c r="E8" s="5" t="n">
        <v>845.6</v>
      </c>
      <c r="F8" s="5" t="n">
        <v>38</v>
      </c>
      <c r="G8" s="5" t="n">
        <v>30.5</v>
      </c>
      <c r="H8" s="5" t="n"/>
      <c r="I8" s="5" t="n">
        <v>724.5</v>
      </c>
      <c r="J8" s="5" t="n">
        <v>845.6</v>
      </c>
      <c r="K8" s="5" t="n">
        <v>23.5</v>
      </c>
      <c r="L8" s="8" t="str">
        <f>IF(AND(ISNUMBER(A8),COUNT(D8:F8)&gt;0),N(D8)+N(E8)+N(F8),"")</f>
        <v/>
      </c>
      <c r="M8" s="8" t="str">
        <f>IF(AND(ISNUMBER(L8),ISNUMBER($C$5),$C$5&gt;=0),ROUND(L8/(1+$C$5/100),2),"")</f>
        <v/>
      </c>
      <c r="N8" s="8" t="str">
        <f>IF(AND(ISNUMBER(A8),COUNT(C8:D8)&gt;0),N(C8)+N(D8)-N(G8)-N(H8),"")</f>
        <v/>
      </c>
      <c r="O8" s="8" t="str">
        <f>IF(AND(ISNUMBER(N8),ISNUMBER(I8)),ROUND(I8-N8,2),"")</f>
        <v/>
      </c>
      <c r="P8" s="9" t="str">
        <f>IF(ISNUMBER(O8),IF(AND(ISNUMBER($G$5),ABS(O8)&gt;$G$5),"Revisa el descuadre",IF(AND(ISNUMBER(J8),ISNUMBER(E8)),IF(ROUND(J8-E8,2)&lt;&gt;0,"El datáfono no cuadra con la tarjeta",""),"")),IF(AND(ISNUMBER(J8),ISNUMBER(E8)),IF(ROUND(J8-E8,2)&lt;&gt;0,"El datáfono no cuadra con la tarjeta",""),""))</f>
        <v/>
      </c>
      <c r="Q8" s="4" t="inlineStr">
        <is>
          <t>Pan y hielo pagados de la caja</t>
        </is>
      </c>
    </row>
    <row r="9">
      <c r="A9" s="7" t="n">
        <v>46301</v>
      </c>
      <c r="B9" t="str">
        <f>IF(ISNUMBER(A9),CHOOSE(WEEKDAY(A9,2),"lunes","martes","miércoles","jueves","viernes","sábado","domingo"),"")</f>
        <v/>
      </c>
      <c r="C9" s="5" t="n">
        <v>150</v>
      </c>
      <c r="D9" s="5" t="n">
        <v>488.2</v>
      </c>
      <c r="E9" s="5" t="n">
        <v>702.3</v>
      </c>
      <c r="F9" s="5" t="n">
        <v>12</v>
      </c>
      <c r="G9" s="5" t="n"/>
      <c r="H9" s="5" t="n"/>
      <c r="I9" s="5" t="n">
        <v>638.2</v>
      </c>
      <c r="J9" s="5" t="n">
        <v>702.3</v>
      </c>
      <c r="K9" s="5" t="n">
        <v>15</v>
      </c>
      <c r="L9" s="8" t="str">
        <f>IF(AND(ISNUMBER(A9),COUNT(D9:F9)&gt;0),N(D9)+N(E9)+N(F9),"")</f>
        <v/>
      </c>
      <c r="M9" s="8" t="str">
        <f>IF(AND(ISNUMBER(L9),ISNUMBER($C$5),$C$5&gt;=0),ROUND(L9/(1+$C$5/100),2),"")</f>
        <v/>
      </c>
      <c r="N9" s="8" t="str">
        <f>IF(AND(ISNUMBER(A9),COUNT(C9:D9)&gt;0),N(C9)+N(D9)-N(G9)-N(H9),"")</f>
        <v/>
      </c>
      <c r="O9" s="8" t="str">
        <f>IF(AND(ISNUMBER(N9),ISNUMBER(I9)),ROUND(I9-N9,2),"")</f>
        <v/>
      </c>
      <c r="P9" s="9" t="str">
        <f>IF(ISNUMBER(O9),IF(AND(ISNUMBER($G$5),ABS(O9)&gt;$G$5),"Revisa el descuadre",IF(AND(ISNUMBER(J9),ISNUMBER(E9)),IF(ROUND(J9-E9,2)&lt;&gt;0,"El datáfono no cuadra con la tarjeta",""),"")),IF(AND(ISNUMBER(J9),ISNUMBER(E9)),IF(ROUND(J9-E9,2)&lt;&gt;0,"El datáfono no cuadra con la tarjeta",""),""))</f>
        <v/>
      </c>
      <c r="Q9" s="4" t="n"/>
    </row>
    <row r="10">
      <c r="A10" s="7" t="n">
        <v>46302</v>
      </c>
      <c r="B10" t="str">
        <f>IF(ISNUMBER(A10),CHOOSE(WEEKDAY(A10,2),"lunes","martes","miércoles","jueves","viernes","sábado","domingo"),"")</f>
        <v/>
      </c>
      <c r="C10" s="5" t="n">
        <v>150</v>
      </c>
      <c r="D10" s="5" t="n">
        <v>530.6</v>
      </c>
      <c r="E10" s="5" t="n">
        <v>760.1</v>
      </c>
      <c r="F10" s="5" t="n">
        <v>25.5</v>
      </c>
      <c r="G10" s="5" t="n">
        <v>18</v>
      </c>
      <c r="H10" s="5" t="n"/>
      <c r="I10" s="5" t="n">
        <v>662.6</v>
      </c>
      <c r="J10" s="5" t="n">
        <v>760.1</v>
      </c>
      <c r="K10" s="5" t="n">
        <v>19.2</v>
      </c>
      <c r="L10" s="8" t="str">
        <f>IF(AND(ISNUMBER(A10),COUNT(D10:F10)&gt;0),N(D10)+N(E10)+N(F10),"")</f>
        <v/>
      </c>
      <c r="M10" s="8" t="str">
        <f>IF(AND(ISNUMBER(L10),ISNUMBER($C$5),$C$5&gt;=0),ROUND(L10/(1+$C$5/100),2),"")</f>
        <v/>
      </c>
      <c r="N10" s="8" t="str">
        <f>IF(AND(ISNUMBER(A10),COUNT(C10:D10)&gt;0),N(C10)+N(D10)-N(G10)-N(H10),"")</f>
        <v/>
      </c>
      <c r="O10" s="8" t="str">
        <f>IF(AND(ISNUMBER(N10),ISNUMBER(I10)),ROUND(I10-N10,2),"")</f>
        <v/>
      </c>
      <c r="P10" s="9" t="str">
        <f>IF(ISNUMBER(O10),IF(AND(ISNUMBER($G$5),ABS(O10)&gt;$G$5),"Revisa el descuadre",IF(AND(ISNUMBER(J10),ISNUMBER(E10)),IF(ROUND(J10-E10,2)&lt;&gt;0,"El datáfono no cuadra con la tarjeta",""),"")),IF(AND(ISNUMBER(J10),ISNUMBER(E10)),IF(ROUND(J10-E10,2)&lt;&gt;0,"El datáfono no cuadra con la tarjeta",""),""))</f>
        <v/>
      </c>
      <c r="Q10" s="4" t="inlineStr">
        <is>
          <t>Hielo</t>
        </is>
      </c>
    </row>
    <row r="11">
      <c r="A11" s="7" t="n">
        <v>46303</v>
      </c>
      <c r="B11" t="str">
        <f>IF(ISNUMBER(A11),CHOOSE(WEEKDAY(A11,2),"lunes","martes","miércoles","jueves","viernes","sábado","domingo"),"")</f>
        <v/>
      </c>
      <c r="C11" s="5" t="n">
        <v>150</v>
      </c>
      <c r="D11" s="5" t="n">
        <v>597.8</v>
      </c>
      <c r="E11" s="5" t="n">
        <v>881.4</v>
      </c>
      <c r="F11" s="5" t="n">
        <v>30</v>
      </c>
      <c r="G11" s="5" t="n"/>
      <c r="H11" s="5" t="n"/>
      <c r="I11" s="5" t="n">
        <v>747.8</v>
      </c>
      <c r="J11" s="5" t="n">
        <v>876.4</v>
      </c>
      <c r="K11" s="5" t="n">
        <v>21</v>
      </c>
      <c r="L11" s="8" t="str">
        <f>IF(AND(ISNUMBER(A11),COUNT(D11:F11)&gt;0),N(D11)+N(E11)+N(F11),"")</f>
        <v/>
      </c>
      <c r="M11" s="8" t="str">
        <f>IF(AND(ISNUMBER(L11),ISNUMBER($C$5),$C$5&gt;=0),ROUND(L11/(1+$C$5/100),2),"")</f>
        <v/>
      </c>
      <c r="N11" s="8" t="str">
        <f>IF(AND(ISNUMBER(A11),COUNT(C11:D11)&gt;0),N(C11)+N(D11)-N(G11)-N(H11),"")</f>
        <v/>
      </c>
      <c r="O11" s="8" t="str">
        <f>IF(AND(ISNUMBER(N11),ISNUMBER(I11)),ROUND(I11-N11,2),"")</f>
        <v/>
      </c>
      <c r="P11" s="9" t="str">
        <f>IF(ISNUMBER(O11),IF(AND(ISNUMBER($G$5),ABS(O11)&gt;$G$5),"Revisa el descuadre",IF(AND(ISNUMBER(J11),ISNUMBER(E11)),IF(ROUND(J11-E11,2)&lt;&gt;0,"El datáfono no cuadra con la tarjeta",""),"")),IF(AND(ISNUMBER(J11),ISNUMBER(E11)),IF(ROUND(J11-E11,2)&lt;&gt;0,"El datáfono no cuadra con la tarjeta",""),""))</f>
        <v/>
      </c>
      <c r="Q11" s="4" t="inlineStr">
        <is>
          <t>Datáfono 5 € por debajo: un cobro repetido en el TPV</t>
        </is>
      </c>
    </row>
    <row r="12">
      <c r="A12" s="7" t="n">
        <v>46304</v>
      </c>
      <c r="B12" t="str">
        <f>IF(ISNUMBER(A12),CHOOSE(WEEKDAY(A12,2),"lunes","martes","miércoles","jueves","viernes","sábado","domingo"),"")</f>
        <v/>
      </c>
      <c r="C12" s="5" t="n">
        <v>150</v>
      </c>
      <c r="D12" s="5" t="n">
        <v>905.3</v>
      </c>
      <c r="E12" s="5" t="n">
        <v>1310.7</v>
      </c>
      <c r="F12" s="5" t="n">
        <v>64</v>
      </c>
      <c r="G12" s="5" t="n">
        <v>42</v>
      </c>
      <c r="H12" s="5" t="n">
        <v>300</v>
      </c>
      <c r="I12" s="5" t="n">
        <v>713.3</v>
      </c>
      <c r="J12" s="5" t="n">
        <v>1310.7</v>
      </c>
      <c r="K12" s="5" t="n">
        <v>38.5</v>
      </c>
      <c r="L12" s="8" t="str">
        <f>IF(AND(ISNUMBER(A12),COUNT(D12:F12)&gt;0),N(D12)+N(E12)+N(F12),"")</f>
        <v/>
      </c>
      <c r="M12" s="8" t="str">
        <f>IF(AND(ISNUMBER(L12),ISNUMBER($C$5),$C$5&gt;=0),ROUND(L12/(1+$C$5/100),2),"")</f>
        <v/>
      </c>
      <c r="N12" s="8" t="str">
        <f>IF(AND(ISNUMBER(A12),COUNT(C12:D12)&gt;0),N(C12)+N(D12)-N(G12)-N(H12),"")</f>
        <v/>
      </c>
      <c r="O12" s="8" t="str">
        <f>IF(AND(ISNUMBER(N12),ISNUMBER(I12)),ROUND(I12-N12,2),"")</f>
        <v/>
      </c>
      <c r="P12" s="9" t="str">
        <f>IF(ISNUMBER(O12),IF(AND(ISNUMBER($G$5),ABS(O12)&gt;$G$5),"Revisa el descuadre",IF(AND(ISNUMBER(J12),ISNUMBER(E12)),IF(ROUND(J12-E12,2)&lt;&gt;0,"El datáfono no cuadra con la tarjeta",""),"")),IF(AND(ISNUMBER(J12),ISNUMBER(E12)),IF(ROUND(J12-E12,2)&lt;&gt;0,"El datáfono no cuadra con la tarjeta",""),""))</f>
        <v/>
      </c>
      <c r="Q12" s="4" t="inlineStr">
        <is>
          <t>Retirada para ingresar en el banco</t>
        </is>
      </c>
    </row>
    <row r="13">
      <c r="A13" s="7" t="n">
        <v>46305</v>
      </c>
      <c r="B13" t="str">
        <f>IF(ISNUMBER(A13),CHOOSE(WEEKDAY(A13,2),"lunes","martes","miércoles","jueves","viernes","sábado","domingo"),"")</f>
        <v/>
      </c>
      <c r="C13" s="5" t="n">
        <v>150</v>
      </c>
      <c r="D13" s="5" t="n">
        <v>1120.9</v>
      </c>
      <c r="E13" s="5" t="n">
        <v>1648.2</v>
      </c>
      <c r="F13" s="5" t="n">
        <v>88</v>
      </c>
      <c r="G13" s="5" t="n"/>
      <c r="H13" s="5" t="n"/>
      <c r="I13" s="5" t="n">
        <v>1262.9</v>
      </c>
      <c r="J13" s="5" t="n">
        <v>1648.2</v>
      </c>
      <c r="K13" s="5" t="n">
        <v>52</v>
      </c>
      <c r="L13" s="8" t="str">
        <f>IF(AND(ISNUMBER(A13),COUNT(D13:F13)&gt;0),N(D13)+N(E13)+N(F13),"")</f>
        <v/>
      </c>
      <c r="M13" s="8" t="str">
        <f>IF(AND(ISNUMBER(L13),ISNUMBER($C$5),$C$5&gt;=0),ROUND(L13/(1+$C$5/100),2),"")</f>
        <v/>
      </c>
      <c r="N13" s="8" t="str">
        <f>IF(AND(ISNUMBER(A13),COUNT(C13:D13)&gt;0),N(C13)+N(D13)-N(G13)-N(H13),"")</f>
        <v/>
      </c>
      <c r="O13" s="8" t="str">
        <f>IF(AND(ISNUMBER(N13),ISNUMBER(I13)),ROUND(I13-N13,2),"")</f>
        <v/>
      </c>
      <c r="P13" s="9" t="str">
        <f>IF(ISNUMBER(O13),IF(AND(ISNUMBER($G$5),ABS(O13)&gt;$G$5),"Revisa el descuadre",IF(AND(ISNUMBER(J13),ISNUMBER(E13)),IF(ROUND(J13-E13,2)&lt;&gt;0,"El datáfono no cuadra con la tarjeta",""),"")),IF(AND(ISNUMBER(J13),ISNUMBER(E13)),IF(ROUND(J13-E13,2)&lt;&gt;0,"El datáfono no cuadra con la tarjeta",""),""))</f>
        <v/>
      </c>
      <c r="Q13" s="4" t="inlineStr">
        <is>
          <t>Faltan 8 €: sin explicar, apuntado</t>
        </is>
      </c>
    </row>
    <row r="14">
      <c r="A14" s="7" t="n">
        <v>46306</v>
      </c>
      <c r="B14" t="str">
        <f>IF(ISNUMBER(A14),CHOOSE(WEEKDAY(A14,2),"lunes","martes","miércoles","jueves","viernes","sábado","domingo"),"")</f>
        <v/>
      </c>
      <c r="C14" s="5" t="n">
        <v>150</v>
      </c>
      <c r="D14" s="5" t="n">
        <v>830.4</v>
      </c>
      <c r="E14" s="5" t="n">
        <v>1095.6</v>
      </c>
      <c r="F14" s="5" t="n">
        <v>41</v>
      </c>
      <c r="G14" s="5" t="n"/>
      <c r="H14" s="5" t="n"/>
      <c r="I14" s="5" t="n">
        <v>980.4</v>
      </c>
      <c r="J14" s="5" t="n">
        <v>1095.6</v>
      </c>
      <c r="K14" s="5" t="n">
        <v>30</v>
      </c>
      <c r="L14" s="8" t="str">
        <f>IF(AND(ISNUMBER(A14),COUNT(D14:F14)&gt;0),N(D14)+N(E14)+N(F14),"")</f>
        <v/>
      </c>
      <c r="M14" s="8" t="str">
        <f>IF(AND(ISNUMBER(L14),ISNUMBER($C$5),$C$5&gt;=0),ROUND(L14/(1+$C$5/100),2),"")</f>
        <v/>
      </c>
      <c r="N14" s="8" t="str">
        <f>IF(AND(ISNUMBER(A14),COUNT(C14:D14)&gt;0),N(C14)+N(D14)-N(G14)-N(H14),"")</f>
        <v/>
      </c>
      <c r="O14" s="8" t="str">
        <f>IF(AND(ISNUMBER(N14),ISNUMBER(I14)),ROUND(I14-N14,2),"")</f>
        <v/>
      </c>
      <c r="P14" s="9" t="str">
        <f>IF(ISNUMBER(O14),IF(AND(ISNUMBER($G$5),ABS(O14)&gt;$G$5),"Revisa el descuadre",IF(AND(ISNUMBER(J14),ISNUMBER(E14)),IF(ROUND(J14-E14,2)&lt;&gt;0,"El datáfono no cuadra con la tarjeta",""),"")),IF(AND(ISNUMBER(J14),ISNUMBER(E14)),IF(ROUND(J14-E14,2)&lt;&gt;0,"El datáfono no cuadra con la tarjeta",""),""))</f>
        <v/>
      </c>
      <c r="Q14" s="4" t="n"/>
    </row>
    <row r="15">
      <c r="A15" s="7" t="n"/>
      <c r="B15" t="str">
        <f>IF(ISNUMBER(A15),CHOOSE(WEEKDAY(A15,2),"lunes","martes","miércoles","jueves","viernes","sábado","domingo"),"")</f>
        <v/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8" t="str">
        <f>IF(AND(ISNUMBER(A15),COUNT(D15:F15)&gt;0),N(D15)+N(E15)+N(F15),"")</f>
        <v/>
      </c>
      <c r="M15" s="8" t="str">
        <f>IF(AND(ISNUMBER(L15),ISNUMBER($C$5),$C$5&gt;=0),ROUND(L15/(1+$C$5/100),2),"")</f>
        <v/>
      </c>
      <c r="N15" s="8" t="str">
        <f>IF(AND(ISNUMBER(A15),COUNT(C15:D15)&gt;0),N(C15)+N(D15)-N(G15)-N(H15),"")</f>
        <v/>
      </c>
      <c r="O15" s="8" t="str">
        <f>IF(AND(ISNUMBER(N15),ISNUMBER(I15)),ROUND(I15-N15,2),"")</f>
        <v/>
      </c>
      <c r="P15" s="9" t="str">
        <f>IF(ISNUMBER(O15),IF(AND(ISNUMBER($G$5),ABS(O15)&gt;$G$5),"Revisa el descuadre",IF(AND(ISNUMBER(J15),ISNUMBER(E15)),IF(ROUND(J15-E15,2)&lt;&gt;0,"El datáfono no cuadra con la tarjeta",""),"")),IF(AND(ISNUMBER(J15),ISNUMBER(E15)),IF(ROUND(J15-E15,2)&lt;&gt;0,"El datáfono no cuadra con la tarjeta",""),""))</f>
        <v/>
      </c>
      <c r="Q15" s="4" t="n"/>
    </row>
    <row r="16">
      <c r="A16" s="7" t="n"/>
      <c r="B16" t="str">
        <f>IF(ISNUMBER(A16),CHOOSE(WEEKDAY(A16,2),"lunes","martes","miércoles","jueves","viernes","sábado","domingo"),"")</f>
        <v/>
      </c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8" t="str">
        <f>IF(AND(ISNUMBER(A16),COUNT(D16:F16)&gt;0),N(D16)+N(E16)+N(F16),"")</f>
        <v/>
      </c>
      <c r="M16" s="8" t="str">
        <f>IF(AND(ISNUMBER(L16),ISNUMBER($C$5),$C$5&gt;=0),ROUND(L16/(1+$C$5/100),2),"")</f>
        <v/>
      </c>
      <c r="N16" s="8" t="str">
        <f>IF(AND(ISNUMBER(A16),COUNT(C16:D16)&gt;0),N(C16)+N(D16)-N(G16)-N(H16),"")</f>
        <v/>
      </c>
      <c r="O16" s="8" t="str">
        <f>IF(AND(ISNUMBER(N16),ISNUMBER(I16)),ROUND(I16-N16,2),"")</f>
        <v/>
      </c>
      <c r="P16" s="9" t="str">
        <f>IF(ISNUMBER(O16),IF(AND(ISNUMBER($G$5),ABS(O16)&gt;$G$5),"Revisa el descuadre",IF(AND(ISNUMBER(J16),ISNUMBER(E16)),IF(ROUND(J16-E16,2)&lt;&gt;0,"El datáfono no cuadra con la tarjeta",""),"")),IF(AND(ISNUMBER(J16),ISNUMBER(E16)),IF(ROUND(J16-E16,2)&lt;&gt;0,"El datáfono no cuadra con la tarjeta",""),""))</f>
        <v/>
      </c>
      <c r="Q16" s="4" t="n"/>
    </row>
    <row r="17">
      <c r="A17" s="7" t="n"/>
      <c r="B17" t="str">
        <f>IF(ISNUMBER(A17),CHOOSE(WEEKDAY(A17,2),"lunes","martes","miércoles","jueves","viernes","sábado","domingo"),"")</f>
        <v/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8" t="str">
        <f>IF(AND(ISNUMBER(A17),COUNT(D17:F17)&gt;0),N(D17)+N(E17)+N(F17),"")</f>
        <v/>
      </c>
      <c r="M17" s="8" t="str">
        <f>IF(AND(ISNUMBER(L17),ISNUMBER($C$5),$C$5&gt;=0),ROUND(L17/(1+$C$5/100),2),"")</f>
        <v/>
      </c>
      <c r="N17" s="8" t="str">
        <f>IF(AND(ISNUMBER(A17),COUNT(C17:D17)&gt;0),N(C17)+N(D17)-N(G17)-N(H17),"")</f>
        <v/>
      </c>
      <c r="O17" s="8" t="str">
        <f>IF(AND(ISNUMBER(N17),ISNUMBER(I17)),ROUND(I17-N17,2),"")</f>
        <v/>
      </c>
      <c r="P17" s="9" t="str">
        <f>IF(ISNUMBER(O17),IF(AND(ISNUMBER($G$5),ABS(O17)&gt;$G$5),"Revisa el descuadre",IF(AND(ISNUMBER(J17),ISNUMBER(E17)),IF(ROUND(J17-E17,2)&lt;&gt;0,"El datáfono no cuadra con la tarjeta",""),"")),IF(AND(ISNUMBER(J17),ISNUMBER(E17)),IF(ROUND(J17-E17,2)&lt;&gt;0,"El datáfono no cuadra con la tarjeta",""),""))</f>
        <v/>
      </c>
      <c r="Q17" s="4" t="n"/>
    </row>
    <row r="18">
      <c r="A18" s="7" t="n"/>
      <c r="B18" t="str">
        <f>IF(ISNUMBER(A18),CHOOSE(WEEKDAY(A18,2),"lunes","martes","miércoles","jueves","viernes","sábado","domingo"),"")</f>
        <v/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8" t="str">
        <f>IF(AND(ISNUMBER(A18),COUNT(D18:F18)&gt;0),N(D18)+N(E18)+N(F18),"")</f>
        <v/>
      </c>
      <c r="M18" s="8" t="str">
        <f>IF(AND(ISNUMBER(L18),ISNUMBER($C$5),$C$5&gt;=0),ROUND(L18/(1+$C$5/100),2),"")</f>
        <v/>
      </c>
      <c r="N18" s="8" t="str">
        <f>IF(AND(ISNUMBER(A18),COUNT(C18:D18)&gt;0),N(C18)+N(D18)-N(G18)-N(H18),"")</f>
        <v/>
      </c>
      <c r="O18" s="8" t="str">
        <f>IF(AND(ISNUMBER(N18),ISNUMBER(I18)),ROUND(I18-N18,2),"")</f>
        <v/>
      </c>
      <c r="P18" s="9" t="str">
        <f>IF(ISNUMBER(O18),IF(AND(ISNUMBER($G$5),ABS(O18)&gt;$G$5),"Revisa el descuadre",IF(AND(ISNUMBER(J18),ISNUMBER(E18)),IF(ROUND(J18-E18,2)&lt;&gt;0,"El datáfono no cuadra con la tarjeta",""),"")),IF(AND(ISNUMBER(J18),ISNUMBER(E18)),IF(ROUND(J18-E18,2)&lt;&gt;0,"El datáfono no cuadra con la tarjeta",""),""))</f>
        <v/>
      </c>
      <c r="Q18" s="4" t="n"/>
    </row>
    <row r="19">
      <c r="A19" s="7" t="n"/>
      <c r="B19" t="str">
        <f>IF(ISNUMBER(A19),CHOOSE(WEEKDAY(A19,2),"lunes","martes","miércoles","jueves","viernes","sábado","domingo"),"")</f>
        <v/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8" t="str">
        <f>IF(AND(ISNUMBER(A19),COUNT(D19:F19)&gt;0),N(D19)+N(E19)+N(F19),"")</f>
        <v/>
      </c>
      <c r="M19" s="8" t="str">
        <f>IF(AND(ISNUMBER(L19),ISNUMBER($C$5),$C$5&gt;=0),ROUND(L19/(1+$C$5/100),2),"")</f>
        <v/>
      </c>
      <c r="N19" s="8" t="str">
        <f>IF(AND(ISNUMBER(A19),COUNT(C19:D19)&gt;0),N(C19)+N(D19)-N(G19)-N(H19),"")</f>
        <v/>
      </c>
      <c r="O19" s="8" t="str">
        <f>IF(AND(ISNUMBER(N19),ISNUMBER(I19)),ROUND(I19-N19,2),"")</f>
        <v/>
      </c>
      <c r="P19" s="9" t="str">
        <f>IF(ISNUMBER(O19),IF(AND(ISNUMBER($G$5),ABS(O19)&gt;$G$5),"Revisa el descuadre",IF(AND(ISNUMBER(J19),ISNUMBER(E19)),IF(ROUND(J19-E19,2)&lt;&gt;0,"El datáfono no cuadra con la tarjeta",""),"")),IF(AND(ISNUMBER(J19),ISNUMBER(E19)),IF(ROUND(J19-E19,2)&lt;&gt;0,"El datáfono no cuadra con la tarjeta",""),""))</f>
        <v/>
      </c>
      <c r="Q19" s="4" t="n"/>
    </row>
    <row r="20">
      <c r="A20" s="7" t="n"/>
      <c r="B20" t="str">
        <f>IF(ISNUMBER(A20),CHOOSE(WEEKDAY(A20,2),"lunes","martes","miércoles","jueves","viernes","sábado","domingo"),"")</f>
        <v/>
      </c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8" t="str">
        <f>IF(AND(ISNUMBER(A20),COUNT(D20:F20)&gt;0),N(D20)+N(E20)+N(F20),"")</f>
        <v/>
      </c>
      <c r="M20" s="8" t="str">
        <f>IF(AND(ISNUMBER(L20),ISNUMBER($C$5),$C$5&gt;=0),ROUND(L20/(1+$C$5/100),2),"")</f>
        <v/>
      </c>
      <c r="N20" s="8" t="str">
        <f>IF(AND(ISNUMBER(A20),COUNT(C20:D20)&gt;0),N(C20)+N(D20)-N(G20)-N(H20),"")</f>
        <v/>
      </c>
      <c r="O20" s="8" t="str">
        <f>IF(AND(ISNUMBER(N20),ISNUMBER(I20)),ROUND(I20-N20,2),"")</f>
        <v/>
      </c>
      <c r="P20" s="9" t="str">
        <f>IF(ISNUMBER(O20),IF(AND(ISNUMBER($G$5),ABS(O20)&gt;$G$5),"Revisa el descuadre",IF(AND(ISNUMBER(J20),ISNUMBER(E20)),IF(ROUND(J20-E20,2)&lt;&gt;0,"El datáfono no cuadra con la tarjeta",""),"")),IF(AND(ISNUMBER(J20),ISNUMBER(E20)),IF(ROUND(J20-E20,2)&lt;&gt;0,"El datáfono no cuadra con la tarjeta",""),""))</f>
        <v/>
      </c>
      <c r="Q20" s="4" t="n"/>
    </row>
    <row r="21">
      <c r="A21" s="7" t="n"/>
      <c r="B21" t="str">
        <f>IF(ISNUMBER(A21),CHOOSE(WEEKDAY(A21,2),"lunes","martes","miércoles","jueves","viernes","sábado","domingo"),"")</f>
        <v/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8" t="str">
        <f>IF(AND(ISNUMBER(A21),COUNT(D21:F21)&gt;0),N(D21)+N(E21)+N(F21),"")</f>
        <v/>
      </c>
      <c r="M21" s="8" t="str">
        <f>IF(AND(ISNUMBER(L21),ISNUMBER($C$5),$C$5&gt;=0),ROUND(L21/(1+$C$5/100),2),"")</f>
        <v/>
      </c>
      <c r="N21" s="8" t="str">
        <f>IF(AND(ISNUMBER(A21),COUNT(C21:D21)&gt;0),N(C21)+N(D21)-N(G21)-N(H21),"")</f>
        <v/>
      </c>
      <c r="O21" s="8" t="str">
        <f>IF(AND(ISNUMBER(N21),ISNUMBER(I21)),ROUND(I21-N21,2),"")</f>
        <v/>
      </c>
      <c r="P21" s="9" t="str">
        <f>IF(ISNUMBER(O21),IF(AND(ISNUMBER($G$5),ABS(O21)&gt;$G$5),"Revisa el descuadre",IF(AND(ISNUMBER(J21),ISNUMBER(E21)),IF(ROUND(J21-E21,2)&lt;&gt;0,"El datáfono no cuadra con la tarjeta",""),"")),IF(AND(ISNUMBER(J21),ISNUMBER(E21)),IF(ROUND(J21-E21,2)&lt;&gt;0,"El datáfono no cuadra con la tarjeta",""),""))</f>
        <v/>
      </c>
      <c r="Q21" s="4" t="n"/>
    </row>
    <row r="22">
      <c r="A22" s="7" t="n"/>
      <c r="B22" t="str">
        <f>IF(ISNUMBER(A22),CHOOSE(WEEKDAY(A22,2),"lunes","martes","miércoles","jueves","viernes","sábado","domingo"),"")</f>
        <v/>
      </c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8" t="str">
        <f>IF(AND(ISNUMBER(A22),COUNT(D22:F22)&gt;0),N(D22)+N(E22)+N(F22),"")</f>
        <v/>
      </c>
      <c r="M22" s="8" t="str">
        <f>IF(AND(ISNUMBER(L22),ISNUMBER($C$5),$C$5&gt;=0),ROUND(L22/(1+$C$5/100),2),"")</f>
        <v/>
      </c>
      <c r="N22" s="8" t="str">
        <f>IF(AND(ISNUMBER(A22),COUNT(C22:D22)&gt;0),N(C22)+N(D22)-N(G22)-N(H22),"")</f>
        <v/>
      </c>
      <c r="O22" s="8" t="str">
        <f>IF(AND(ISNUMBER(N22),ISNUMBER(I22)),ROUND(I22-N22,2),"")</f>
        <v/>
      </c>
      <c r="P22" s="9" t="str">
        <f>IF(ISNUMBER(O22),IF(AND(ISNUMBER($G$5),ABS(O22)&gt;$G$5),"Revisa el descuadre",IF(AND(ISNUMBER(J22),ISNUMBER(E22)),IF(ROUND(J22-E22,2)&lt;&gt;0,"El datáfono no cuadra con la tarjeta",""),"")),IF(AND(ISNUMBER(J22),ISNUMBER(E22)),IF(ROUND(J22-E22,2)&lt;&gt;0,"El datáfono no cuadra con la tarjeta",""),""))</f>
        <v/>
      </c>
      <c r="Q22" s="4" t="n"/>
    </row>
    <row r="23">
      <c r="A23" s="7" t="n"/>
      <c r="B23" t="str">
        <f>IF(ISNUMBER(A23),CHOOSE(WEEKDAY(A23,2),"lunes","martes","miércoles","jueves","viernes","sábado","domingo"),"")</f>
        <v/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8" t="str">
        <f>IF(AND(ISNUMBER(A23),COUNT(D23:F23)&gt;0),N(D23)+N(E23)+N(F23),"")</f>
        <v/>
      </c>
      <c r="M23" s="8" t="str">
        <f>IF(AND(ISNUMBER(L23),ISNUMBER($C$5),$C$5&gt;=0),ROUND(L23/(1+$C$5/100),2),"")</f>
        <v/>
      </c>
      <c r="N23" s="8" t="str">
        <f>IF(AND(ISNUMBER(A23),COUNT(C23:D23)&gt;0),N(C23)+N(D23)-N(G23)-N(H23),"")</f>
        <v/>
      </c>
      <c r="O23" s="8" t="str">
        <f>IF(AND(ISNUMBER(N23),ISNUMBER(I23)),ROUND(I23-N23,2),"")</f>
        <v/>
      </c>
      <c r="P23" s="9" t="str">
        <f>IF(ISNUMBER(O23),IF(AND(ISNUMBER($G$5),ABS(O23)&gt;$G$5),"Revisa el descuadre",IF(AND(ISNUMBER(J23),ISNUMBER(E23)),IF(ROUND(J23-E23,2)&lt;&gt;0,"El datáfono no cuadra con la tarjeta",""),"")),IF(AND(ISNUMBER(J23),ISNUMBER(E23)),IF(ROUND(J23-E23,2)&lt;&gt;0,"El datáfono no cuadra con la tarjeta",""),""))</f>
        <v/>
      </c>
      <c r="Q23" s="4" t="n"/>
    </row>
    <row r="24">
      <c r="A24" s="7" t="n"/>
      <c r="B24" t="str">
        <f>IF(ISNUMBER(A24),CHOOSE(WEEKDAY(A24,2),"lunes","martes","miércoles","jueves","viernes","sábado","domingo"),"")</f>
        <v/>
      </c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8" t="str">
        <f>IF(AND(ISNUMBER(A24),COUNT(D24:F24)&gt;0),N(D24)+N(E24)+N(F24),"")</f>
        <v/>
      </c>
      <c r="M24" s="8" t="str">
        <f>IF(AND(ISNUMBER(L24),ISNUMBER($C$5),$C$5&gt;=0),ROUND(L24/(1+$C$5/100),2),"")</f>
        <v/>
      </c>
      <c r="N24" s="8" t="str">
        <f>IF(AND(ISNUMBER(A24),COUNT(C24:D24)&gt;0),N(C24)+N(D24)-N(G24)-N(H24),"")</f>
        <v/>
      </c>
      <c r="O24" s="8" t="str">
        <f>IF(AND(ISNUMBER(N24),ISNUMBER(I24)),ROUND(I24-N24,2),"")</f>
        <v/>
      </c>
      <c r="P24" s="9" t="str">
        <f>IF(ISNUMBER(O24),IF(AND(ISNUMBER($G$5),ABS(O24)&gt;$G$5),"Revisa el descuadre",IF(AND(ISNUMBER(J24),ISNUMBER(E24)),IF(ROUND(J24-E24,2)&lt;&gt;0,"El datáfono no cuadra con la tarjeta",""),"")),IF(AND(ISNUMBER(J24),ISNUMBER(E24)),IF(ROUND(J24-E24,2)&lt;&gt;0,"El datáfono no cuadra con la tarjeta",""),""))</f>
        <v/>
      </c>
      <c r="Q24" s="4" t="n"/>
    </row>
    <row r="25">
      <c r="A25" s="7" t="n"/>
      <c r="B25" t="str">
        <f>IF(ISNUMBER(A25),CHOOSE(WEEKDAY(A25,2),"lunes","martes","miércoles","jueves","viernes","sábado","domingo"),"")</f>
        <v/>
      </c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8" t="str">
        <f>IF(AND(ISNUMBER(A25),COUNT(D25:F25)&gt;0),N(D25)+N(E25)+N(F25),"")</f>
        <v/>
      </c>
      <c r="M25" s="8" t="str">
        <f>IF(AND(ISNUMBER(L25),ISNUMBER($C$5),$C$5&gt;=0),ROUND(L25/(1+$C$5/100),2),"")</f>
        <v/>
      </c>
      <c r="N25" s="8" t="str">
        <f>IF(AND(ISNUMBER(A25),COUNT(C25:D25)&gt;0),N(C25)+N(D25)-N(G25)-N(H25),"")</f>
        <v/>
      </c>
      <c r="O25" s="8" t="str">
        <f>IF(AND(ISNUMBER(N25),ISNUMBER(I25)),ROUND(I25-N25,2),"")</f>
        <v/>
      </c>
      <c r="P25" s="9" t="str">
        <f>IF(ISNUMBER(O25),IF(AND(ISNUMBER($G$5),ABS(O25)&gt;$G$5),"Revisa el descuadre",IF(AND(ISNUMBER(J25),ISNUMBER(E25)),IF(ROUND(J25-E25,2)&lt;&gt;0,"El datáfono no cuadra con la tarjeta",""),"")),IF(AND(ISNUMBER(J25),ISNUMBER(E25)),IF(ROUND(J25-E25,2)&lt;&gt;0,"El datáfono no cuadra con la tarjeta",""),""))</f>
        <v/>
      </c>
      <c r="Q25" s="4" t="n"/>
    </row>
    <row r="26">
      <c r="A26" s="7" t="n"/>
      <c r="B26" t="str">
        <f>IF(ISNUMBER(A26),CHOOSE(WEEKDAY(A26,2),"lunes","martes","miércoles","jueves","viernes","sábado","domingo"),"")</f>
        <v/>
      </c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8" t="str">
        <f>IF(AND(ISNUMBER(A26),COUNT(D26:F26)&gt;0),N(D26)+N(E26)+N(F26),"")</f>
        <v/>
      </c>
      <c r="M26" s="8" t="str">
        <f>IF(AND(ISNUMBER(L26),ISNUMBER($C$5),$C$5&gt;=0),ROUND(L26/(1+$C$5/100),2),"")</f>
        <v/>
      </c>
      <c r="N26" s="8" t="str">
        <f>IF(AND(ISNUMBER(A26),COUNT(C26:D26)&gt;0),N(C26)+N(D26)-N(G26)-N(H26),"")</f>
        <v/>
      </c>
      <c r="O26" s="8" t="str">
        <f>IF(AND(ISNUMBER(N26),ISNUMBER(I26)),ROUND(I26-N26,2),"")</f>
        <v/>
      </c>
      <c r="P26" s="9" t="str">
        <f>IF(ISNUMBER(O26),IF(AND(ISNUMBER($G$5),ABS(O26)&gt;$G$5),"Revisa el descuadre",IF(AND(ISNUMBER(J26),ISNUMBER(E26)),IF(ROUND(J26-E26,2)&lt;&gt;0,"El datáfono no cuadra con la tarjeta",""),"")),IF(AND(ISNUMBER(J26),ISNUMBER(E26)),IF(ROUND(J26-E26,2)&lt;&gt;0,"El datáfono no cuadra con la tarjeta",""),""))</f>
        <v/>
      </c>
      <c r="Q26" s="4" t="n"/>
    </row>
    <row r="27">
      <c r="A27" s="7" t="n"/>
      <c r="B27" t="str">
        <f>IF(ISNUMBER(A27),CHOOSE(WEEKDAY(A27,2),"lunes","martes","miércoles","jueves","viernes","sábado","domingo"),"")</f>
        <v/>
      </c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8" t="str">
        <f>IF(AND(ISNUMBER(A27),COUNT(D27:F27)&gt;0),N(D27)+N(E27)+N(F27),"")</f>
        <v/>
      </c>
      <c r="M27" s="8" t="str">
        <f>IF(AND(ISNUMBER(L27),ISNUMBER($C$5),$C$5&gt;=0),ROUND(L27/(1+$C$5/100),2),"")</f>
        <v/>
      </c>
      <c r="N27" s="8" t="str">
        <f>IF(AND(ISNUMBER(A27),COUNT(C27:D27)&gt;0),N(C27)+N(D27)-N(G27)-N(H27),"")</f>
        <v/>
      </c>
      <c r="O27" s="8" t="str">
        <f>IF(AND(ISNUMBER(N27),ISNUMBER(I27)),ROUND(I27-N27,2),"")</f>
        <v/>
      </c>
      <c r="P27" s="9" t="str">
        <f>IF(ISNUMBER(O27),IF(AND(ISNUMBER($G$5),ABS(O27)&gt;$G$5),"Revisa el descuadre",IF(AND(ISNUMBER(J27),ISNUMBER(E27)),IF(ROUND(J27-E27,2)&lt;&gt;0,"El datáfono no cuadra con la tarjeta",""),"")),IF(AND(ISNUMBER(J27),ISNUMBER(E27)),IF(ROUND(J27-E27,2)&lt;&gt;0,"El datáfono no cuadra con la tarjeta",""),""))</f>
        <v/>
      </c>
      <c r="Q27" s="4" t="n"/>
    </row>
    <row r="28">
      <c r="A28" s="7" t="n"/>
      <c r="B28" t="str">
        <f>IF(ISNUMBER(A28),CHOOSE(WEEKDAY(A28,2),"lunes","martes","miércoles","jueves","viernes","sábado","domingo"),"")</f>
        <v/>
      </c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8" t="str">
        <f>IF(AND(ISNUMBER(A28),COUNT(D28:F28)&gt;0),N(D28)+N(E28)+N(F28),"")</f>
        <v/>
      </c>
      <c r="M28" s="8" t="str">
        <f>IF(AND(ISNUMBER(L28),ISNUMBER($C$5),$C$5&gt;=0),ROUND(L28/(1+$C$5/100),2),"")</f>
        <v/>
      </c>
      <c r="N28" s="8" t="str">
        <f>IF(AND(ISNUMBER(A28),COUNT(C28:D28)&gt;0),N(C28)+N(D28)-N(G28)-N(H28),"")</f>
        <v/>
      </c>
      <c r="O28" s="8" t="str">
        <f>IF(AND(ISNUMBER(N28),ISNUMBER(I28)),ROUND(I28-N28,2),"")</f>
        <v/>
      </c>
      <c r="P28" s="9" t="str">
        <f>IF(ISNUMBER(O28),IF(AND(ISNUMBER($G$5),ABS(O28)&gt;$G$5),"Revisa el descuadre",IF(AND(ISNUMBER(J28),ISNUMBER(E28)),IF(ROUND(J28-E28,2)&lt;&gt;0,"El datáfono no cuadra con la tarjeta",""),"")),IF(AND(ISNUMBER(J28),ISNUMBER(E28)),IF(ROUND(J28-E28,2)&lt;&gt;0,"El datáfono no cuadra con la tarjeta",""),""))</f>
        <v/>
      </c>
      <c r="Q28" s="4" t="n"/>
    </row>
    <row r="29">
      <c r="A29" s="7" t="n"/>
      <c r="B29" t="str">
        <f>IF(ISNUMBER(A29),CHOOSE(WEEKDAY(A29,2),"lunes","martes","miércoles","jueves","viernes","sábado","domingo"),"")</f>
        <v/>
      </c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8" t="str">
        <f>IF(AND(ISNUMBER(A29),COUNT(D29:F29)&gt;0),N(D29)+N(E29)+N(F29),"")</f>
        <v/>
      </c>
      <c r="M29" s="8" t="str">
        <f>IF(AND(ISNUMBER(L29),ISNUMBER($C$5),$C$5&gt;=0),ROUND(L29/(1+$C$5/100),2),"")</f>
        <v/>
      </c>
      <c r="N29" s="8" t="str">
        <f>IF(AND(ISNUMBER(A29),COUNT(C29:D29)&gt;0),N(C29)+N(D29)-N(G29)-N(H29),"")</f>
        <v/>
      </c>
      <c r="O29" s="8" t="str">
        <f>IF(AND(ISNUMBER(N29),ISNUMBER(I29)),ROUND(I29-N29,2),"")</f>
        <v/>
      </c>
      <c r="P29" s="9" t="str">
        <f>IF(ISNUMBER(O29),IF(AND(ISNUMBER($G$5),ABS(O29)&gt;$G$5),"Revisa el descuadre",IF(AND(ISNUMBER(J29),ISNUMBER(E29)),IF(ROUND(J29-E29,2)&lt;&gt;0,"El datáfono no cuadra con la tarjeta",""),"")),IF(AND(ISNUMBER(J29),ISNUMBER(E29)),IF(ROUND(J29-E29,2)&lt;&gt;0,"El datáfono no cuadra con la tarjeta",""),""))</f>
        <v/>
      </c>
      <c r="Q29" s="4" t="n"/>
    </row>
    <row r="30">
      <c r="A30" s="7" t="n"/>
      <c r="B30" t="str">
        <f>IF(ISNUMBER(A30),CHOOSE(WEEKDAY(A30,2),"lunes","martes","miércoles","jueves","viernes","sábado","domingo"),"")</f>
        <v/>
      </c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8" t="str">
        <f>IF(AND(ISNUMBER(A30),COUNT(D30:F30)&gt;0),N(D30)+N(E30)+N(F30),"")</f>
        <v/>
      </c>
      <c r="M30" s="8" t="str">
        <f>IF(AND(ISNUMBER(L30),ISNUMBER($C$5),$C$5&gt;=0),ROUND(L30/(1+$C$5/100),2),"")</f>
        <v/>
      </c>
      <c r="N30" s="8" t="str">
        <f>IF(AND(ISNUMBER(A30),COUNT(C30:D30)&gt;0),N(C30)+N(D30)-N(G30)-N(H30),"")</f>
        <v/>
      </c>
      <c r="O30" s="8" t="str">
        <f>IF(AND(ISNUMBER(N30),ISNUMBER(I30)),ROUND(I30-N30,2),"")</f>
        <v/>
      </c>
      <c r="P30" s="9" t="str">
        <f>IF(ISNUMBER(O30),IF(AND(ISNUMBER($G$5),ABS(O30)&gt;$G$5),"Revisa el descuadre",IF(AND(ISNUMBER(J30),ISNUMBER(E30)),IF(ROUND(J30-E30,2)&lt;&gt;0,"El datáfono no cuadra con la tarjeta",""),"")),IF(AND(ISNUMBER(J30),ISNUMBER(E30)),IF(ROUND(J30-E30,2)&lt;&gt;0,"El datáfono no cuadra con la tarjeta",""),""))</f>
        <v/>
      </c>
      <c r="Q30" s="4" t="n"/>
    </row>
    <row r="31">
      <c r="A31" s="7" t="n"/>
      <c r="B31" t="str">
        <f>IF(ISNUMBER(A31),CHOOSE(WEEKDAY(A31,2),"lunes","martes","miércoles","jueves","viernes","sábado","domingo"),"")</f>
        <v/>
      </c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8" t="str">
        <f>IF(AND(ISNUMBER(A31),COUNT(D31:F31)&gt;0),N(D31)+N(E31)+N(F31),"")</f>
        <v/>
      </c>
      <c r="M31" s="8" t="str">
        <f>IF(AND(ISNUMBER(L31),ISNUMBER($C$5),$C$5&gt;=0),ROUND(L31/(1+$C$5/100),2),"")</f>
        <v/>
      </c>
      <c r="N31" s="8" t="str">
        <f>IF(AND(ISNUMBER(A31),COUNT(C31:D31)&gt;0),N(C31)+N(D31)-N(G31)-N(H31),"")</f>
        <v/>
      </c>
      <c r="O31" s="8" t="str">
        <f>IF(AND(ISNUMBER(N31),ISNUMBER(I31)),ROUND(I31-N31,2),"")</f>
        <v/>
      </c>
      <c r="P31" s="9" t="str">
        <f>IF(ISNUMBER(O31),IF(AND(ISNUMBER($G$5),ABS(O31)&gt;$G$5),"Revisa el descuadre",IF(AND(ISNUMBER(J31),ISNUMBER(E31)),IF(ROUND(J31-E31,2)&lt;&gt;0,"El datáfono no cuadra con la tarjeta",""),"")),IF(AND(ISNUMBER(J31),ISNUMBER(E31)),IF(ROUND(J31-E31,2)&lt;&gt;0,"El datáfono no cuadra con la tarjeta",""),""))</f>
        <v/>
      </c>
      <c r="Q31" s="4" t="n"/>
    </row>
    <row r="32">
      <c r="A32" s="7" t="n"/>
      <c r="B32" t="str">
        <f>IF(ISNUMBER(A32),CHOOSE(WEEKDAY(A32,2),"lunes","martes","miércoles","jueves","viernes","sábado","domingo"),"")</f>
        <v/>
      </c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8" t="str">
        <f>IF(AND(ISNUMBER(A32),COUNT(D32:F32)&gt;0),N(D32)+N(E32)+N(F32),"")</f>
        <v/>
      </c>
      <c r="M32" s="8" t="str">
        <f>IF(AND(ISNUMBER(L32),ISNUMBER($C$5),$C$5&gt;=0),ROUND(L32/(1+$C$5/100),2),"")</f>
        <v/>
      </c>
      <c r="N32" s="8" t="str">
        <f>IF(AND(ISNUMBER(A32),COUNT(C32:D32)&gt;0),N(C32)+N(D32)-N(G32)-N(H32),"")</f>
        <v/>
      </c>
      <c r="O32" s="8" t="str">
        <f>IF(AND(ISNUMBER(N32),ISNUMBER(I32)),ROUND(I32-N32,2),"")</f>
        <v/>
      </c>
      <c r="P32" s="9" t="str">
        <f>IF(ISNUMBER(O32),IF(AND(ISNUMBER($G$5),ABS(O32)&gt;$G$5),"Revisa el descuadre",IF(AND(ISNUMBER(J32),ISNUMBER(E32)),IF(ROUND(J32-E32,2)&lt;&gt;0,"El datáfono no cuadra con la tarjeta",""),"")),IF(AND(ISNUMBER(J32),ISNUMBER(E32)),IF(ROUND(J32-E32,2)&lt;&gt;0,"El datáfono no cuadra con la tarjeta",""),""))</f>
        <v/>
      </c>
      <c r="Q32" s="4" t="n"/>
    </row>
    <row r="33">
      <c r="A33" s="7" t="n"/>
      <c r="B33" t="str">
        <f>IF(ISNUMBER(A33),CHOOSE(WEEKDAY(A33,2),"lunes","martes","miércoles","jueves","viernes","sábado","domingo"),"")</f>
        <v/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8" t="str">
        <f>IF(AND(ISNUMBER(A33),COUNT(D33:F33)&gt;0),N(D33)+N(E33)+N(F33),"")</f>
        <v/>
      </c>
      <c r="M33" s="8" t="str">
        <f>IF(AND(ISNUMBER(L33),ISNUMBER($C$5),$C$5&gt;=0),ROUND(L33/(1+$C$5/100),2),"")</f>
        <v/>
      </c>
      <c r="N33" s="8" t="str">
        <f>IF(AND(ISNUMBER(A33),COUNT(C33:D33)&gt;0),N(C33)+N(D33)-N(G33)-N(H33),"")</f>
        <v/>
      </c>
      <c r="O33" s="8" t="str">
        <f>IF(AND(ISNUMBER(N33),ISNUMBER(I33)),ROUND(I33-N33,2),"")</f>
        <v/>
      </c>
      <c r="P33" s="9" t="str">
        <f>IF(ISNUMBER(O33),IF(AND(ISNUMBER($G$5),ABS(O33)&gt;$G$5),"Revisa el descuadre",IF(AND(ISNUMBER(J33),ISNUMBER(E33)),IF(ROUND(J33-E33,2)&lt;&gt;0,"El datáfono no cuadra con la tarjeta",""),"")),IF(AND(ISNUMBER(J33),ISNUMBER(E33)),IF(ROUND(J33-E33,2)&lt;&gt;0,"El datáfono no cuadra con la tarjeta",""),""))</f>
        <v/>
      </c>
      <c r="Q33" s="4" t="n"/>
    </row>
    <row r="34">
      <c r="A34" s="7" t="n"/>
      <c r="B34" t="str">
        <f>IF(ISNUMBER(A34),CHOOSE(WEEKDAY(A34,2),"lunes","martes","miércoles","jueves","viernes","sábado","domingo"),"")</f>
        <v/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8" t="str">
        <f>IF(AND(ISNUMBER(A34),COUNT(D34:F34)&gt;0),N(D34)+N(E34)+N(F34),"")</f>
        <v/>
      </c>
      <c r="M34" s="8" t="str">
        <f>IF(AND(ISNUMBER(L34),ISNUMBER($C$5),$C$5&gt;=0),ROUND(L34/(1+$C$5/100),2),"")</f>
        <v/>
      </c>
      <c r="N34" s="8" t="str">
        <f>IF(AND(ISNUMBER(A34),COUNT(C34:D34)&gt;0),N(C34)+N(D34)-N(G34)-N(H34),"")</f>
        <v/>
      </c>
      <c r="O34" s="8" t="str">
        <f>IF(AND(ISNUMBER(N34),ISNUMBER(I34)),ROUND(I34-N34,2),"")</f>
        <v/>
      </c>
      <c r="P34" s="9" t="str">
        <f>IF(ISNUMBER(O34),IF(AND(ISNUMBER($G$5),ABS(O34)&gt;$G$5),"Revisa el descuadre",IF(AND(ISNUMBER(J34),ISNUMBER(E34)),IF(ROUND(J34-E34,2)&lt;&gt;0,"El datáfono no cuadra con la tarjeta",""),"")),IF(AND(ISNUMBER(J34),ISNUMBER(E34)),IF(ROUND(J34-E34,2)&lt;&gt;0,"El datáfono no cuadra con la tarjeta",""),""))</f>
        <v/>
      </c>
      <c r="Q34" s="4" t="n"/>
    </row>
    <row r="35">
      <c r="A35" s="7" t="n"/>
      <c r="B35" t="str">
        <f>IF(ISNUMBER(A35),CHOOSE(WEEKDAY(A35,2),"lunes","martes","miércoles","jueves","viernes","sábado","domingo"),"")</f>
        <v/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8" t="str">
        <f>IF(AND(ISNUMBER(A35),COUNT(D35:F35)&gt;0),N(D35)+N(E35)+N(F35),"")</f>
        <v/>
      </c>
      <c r="M35" s="8" t="str">
        <f>IF(AND(ISNUMBER(L35),ISNUMBER($C$5),$C$5&gt;=0),ROUND(L35/(1+$C$5/100),2),"")</f>
        <v/>
      </c>
      <c r="N35" s="8" t="str">
        <f>IF(AND(ISNUMBER(A35),COUNT(C35:D35)&gt;0),N(C35)+N(D35)-N(G35)-N(H35),"")</f>
        <v/>
      </c>
      <c r="O35" s="8" t="str">
        <f>IF(AND(ISNUMBER(N35),ISNUMBER(I35)),ROUND(I35-N35,2),"")</f>
        <v/>
      </c>
      <c r="P35" s="9" t="str">
        <f>IF(ISNUMBER(O35),IF(AND(ISNUMBER($G$5),ABS(O35)&gt;$G$5),"Revisa el descuadre",IF(AND(ISNUMBER(J35),ISNUMBER(E35)),IF(ROUND(J35-E35,2)&lt;&gt;0,"El datáfono no cuadra con la tarjeta",""),"")),IF(AND(ISNUMBER(J35),ISNUMBER(E35)),IF(ROUND(J35-E35,2)&lt;&gt;0,"El datáfono no cuadra con la tarjeta",""),""))</f>
        <v/>
      </c>
      <c r="Q35" s="4" t="n"/>
    </row>
    <row r="36">
      <c r="A36" s="7" t="n"/>
      <c r="B36" t="str">
        <f>IF(ISNUMBER(A36),CHOOSE(WEEKDAY(A36,2),"lunes","martes","miércoles","jueves","viernes","sábado","domingo"),"")</f>
        <v/>
      </c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8" t="str">
        <f>IF(AND(ISNUMBER(A36),COUNT(D36:F36)&gt;0),N(D36)+N(E36)+N(F36),"")</f>
        <v/>
      </c>
      <c r="M36" s="8" t="str">
        <f>IF(AND(ISNUMBER(L36),ISNUMBER($C$5),$C$5&gt;=0),ROUND(L36/(1+$C$5/100),2),"")</f>
        <v/>
      </c>
      <c r="N36" s="8" t="str">
        <f>IF(AND(ISNUMBER(A36),COUNT(C36:D36)&gt;0),N(C36)+N(D36)-N(G36)-N(H36),"")</f>
        <v/>
      </c>
      <c r="O36" s="8" t="str">
        <f>IF(AND(ISNUMBER(N36),ISNUMBER(I36)),ROUND(I36-N36,2),"")</f>
        <v/>
      </c>
      <c r="P36" s="9" t="str">
        <f>IF(ISNUMBER(O36),IF(AND(ISNUMBER($G$5),ABS(O36)&gt;$G$5),"Revisa el descuadre",IF(AND(ISNUMBER(J36),ISNUMBER(E36)),IF(ROUND(J36-E36,2)&lt;&gt;0,"El datáfono no cuadra con la tarjeta",""),"")),IF(AND(ISNUMBER(J36),ISNUMBER(E36)),IF(ROUND(J36-E36,2)&lt;&gt;0,"El datáfono no cuadra con la tarjeta",""),""))</f>
        <v/>
      </c>
      <c r="Q36" s="4" t="n"/>
    </row>
    <row r="37">
      <c r="A37" s="7" t="n"/>
      <c r="B37" t="str">
        <f>IF(ISNUMBER(A37),CHOOSE(WEEKDAY(A37,2),"lunes","martes","miércoles","jueves","viernes","sábado","domingo"),"")</f>
        <v/>
      </c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8" t="str">
        <f>IF(AND(ISNUMBER(A37),COUNT(D37:F37)&gt;0),N(D37)+N(E37)+N(F37),"")</f>
        <v/>
      </c>
      <c r="M37" s="8" t="str">
        <f>IF(AND(ISNUMBER(L37),ISNUMBER($C$5),$C$5&gt;=0),ROUND(L37/(1+$C$5/100),2),"")</f>
        <v/>
      </c>
      <c r="N37" s="8" t="str">
        <f>IF(AND(ISNUMBER(A37),COUNT(C37:D37)&gt;0),N(C37)+N(D37)-N(G37)-N(H37),"")</f>
        <v/>
      </c>
      <c r="O37" s="8" t="str">
        <f>IF(AND(ISNUMBER(N37),ISNUMBER(I37)),ROUND(I37-N37,2),"")</f>
        <v/>
      </c>
      <c r="P37" s="9" t="str">
        <f>IF(ISNUMBER(O37),IF(AND(ISNUMBER($G$5),ABS(O37)&gt;$G$5),"Revisa el descuadre",IF(AND(ISNUMBER(J37),ISNUMBER(E37)),IF(ROUND(J37-E37,2)&lt;&gt;0,"El datáfono no cuadra con la tarjeta",""),"")),IF(AND(ISNUMBER(J37),ISNUMBER(E37)),IF(ROUND(J37-E37,2)&lt;&gt;0,"El datáfono no cuadra con la tarjeta",""),""))</f>
        <v/>
      </c>
      <c r="Q37" s="4" t="n"/>
    </row>
    <row r="38">
      <c r="A38" s="7" t="n"/>
      <c r="B38" t="str">
        <f>IF(ISNUMBER(A38),CHOOSE(WEEKDAY(A38,2),"lunes","martes","miércoles","jueves","viernes","sábado","domingo"),"")</f>
        <v/>
      </c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8" t="str">
        <f>IF(AND(ISNUMBER(A38),COUNT(D38:F38)&gt;0),N(D38)+N(E38)+N(F38),"")</f>
        <v/>
      </c>
      <c r="M38" s="8" t="str">
        <f>IF(AND(ISNUMBER(L38),ISNUMBER($C$5),$C$5&gt;=0),ROUND(L38/(1+$C$5/100),2),"")</f>
        <v/>
      </c>
      <c r="N38" s="8" t="str">
        <f>IF(AND(ISNUMBER(A38),COUNT(C38:D38)&gt;0),N(C38)+N(D38)-N(G38)-N(H38),"")</f>
        <v/>
      </c>
      <c r="O38" s="8" t="str">
        <f>IF(AND(ISNUMBER(N38),ISNUMBER(I38)),ROUND(I38-N38,2),"")</f>
        <v/>
      </c>
      <c r="P38" s="9" t="str">
        <f>IF(ISNUMBER(O38),IF(AND(ISNUMBER($G$5),ABS(O38)&gt;$G$5),"Revisa el descuadre",IF(AND(ISNUMBER(J38),ISNUMBER(E38)),IF(ROUND(J38-E38,2)&lt;&gt;0,"El datáfono no cuadra con la tarjeta",""),"")),IF(AND(ISNUMBER(J38),ISNUMBER(E38)),IF(ROUND(J38-E38,2)&lt;&gt;0,"El datáfono no cuadra con la tarjeta",""),""))</f>
        <v/>
      </c>
      <c r="Q38" s="4" t="n"/>
    </row>
    <row r="39">
      <c r="A39" s="7" t="n"/>
      <c r="B39" t="str">
        <f>IF(ISNUMBER(A39),CHOOSE(WEEKDAY(A39,2),"lunes","martes","miércoles","jueves","viernes","sábado","domingo"),"")</f>
        <v/>
      </c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8" t="str">
        <f>IF(AND(ISNUMBER(A39),COUNT(D39:F39)&gt;0),N(D39)+N(E39)+N(F39),"")</f>
        <v/>
      </c>
      <c r="M39" s="8" t="str">
        <f>IF(AND(ISNUMBER(L39),ISNUMBER($C$5),$C$5&gt;=0),ROUND(L39/(1+$C$5/100),2),"")</f>
        <v/>
      </c>
      <c r="N39" s="8" t="str">
        <f>IF(AND(ISNUMBER(A39),COUNT(C39:D39)&gt;0),N(C39)+N(D39)-N(G39)-N(H39),"")</f>
        <v/>
      </c>
      <c r="O39" s="8" t="str">
        <f>IF(AND(ISNUMBER(N39),ISNUMBER(I39)),ROUND(I39-N39,2),"")</f>
        <v/>
      </c>
      <c r="P39" s="9" t="str">
        <f>IF(ISNUMBER(O39),IF(AND(ISNUMBER($G$5),ABS(O39)&gt;$G$5),"Revisa el descuadre",IF(AND(ISNUMBER(J39),ISNUMBER(E39)),IF(ROUND(J39-E39,2)&lt;&gt;0,"El datáfono no cuadra con la tarjeta",""),"")),IF(AND(ISNUMBER(J39),ISNUMBER(E39)),IF(ROUND(J39-E39,2)&lt;&gt;0,"El datáfono no cuadra con la tarjeta",""),""))</f>
        <v/>
      </c>
      <c r="Q39" s="4" t="n"/>
    </row>
    <row r="40">
      <c r="A40" s="7" t="n"/>
      <c r="B40" t="str">
        <f>IF(ISNUMBER(A40),CHOOSE(WEEKDAY(A40,2),"lunes","martes","miércoles","jueves","viernes","sábado","domingo"),"")</f>
        <v/>
      </c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8" t="str">
        <f>IF(AND(ISNUMBER(A40),COUNT(D40:F40)&gt;0),N(D40)+N(E40)+N(F40),"")</f>
        <v/>
      </c>
      <c r="M40" s="8" t="str">
        <f>IF(AND(ISNUMBER(L40),ISNUMBER($C$5),$C$5&gt;=0),ROUND(L40/(1+$C$5/100),2),"")</f>
        <v/>
      </c>
      <c r="N40" s="8" t="str">
        <f>IF(AND(ISNUMBER(A40),COUNT(C40:D40)&gt;0),N(C40)+N(D40)-N(G40)-N(H40),"")</f>
        <v/>
      </c>
      <c r="O40" s="8" t="str">
        <f>IF(AND(ISNUMBER(N40),ISNUMBER(I40)),ROUND(I40-N40,2),"")</f>
        <v/>
      </c>
      <c r="P40" s="9" t="str">
        <f>IF(ISNUMBER(O40),IF(AND(ISNUMBER($G$5),ABS(O40)&gt;$G$5),"Revisa el descuadre",IF(AND(ISNUMBER(J40),ISNUMBER(E40)),IF(ROUND(J40-E40,2)&lt;&gt;0,"El datáfono no cuadra con la tarjeta",""),"")),IF(AND(ISNUMBER(J40),ISNUMBER(E40)),IF(ROUND(J40-E40,2)&lt;&gt;0,"El datáfono no cuadra con la tarjeta",""),""))</f>
        <v/>
      </c>
      <c r="Q40" s="4" t="n"/>
    </row>
    <row r="41">
      <c r="A41" s="7" t="n"/>
      <c r="B41" t="str">
        <f>IF(ISNUMBER(A41),CHOOSE(WEEKDAY(A41,2),"lunes","martes","miércoles","jueves","viernes","sábado","domingo"),"")</f>
        <v/>
      </c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8" t="str">
        <f>IF(AND(ISNUMBER(A41),COUNT(D41:F41)&gt;0),N(D41)+N(E41)+N(F41),"")</f>
        <v/>
      </c>
      <c r="M41" s="8" t="str">
        <f>IF(AND(ISNUMBER(L41),ISNUMBER($C$5),$C$5&gt;=0),ROUND(L41/(1+$C$5/100),2),"")</f>
        <v/>
      </c>
      <c r="N41" s="8" t="str">
        <f>IF(AND(ISNUMBER(A41),COUNT(C41:D41)&gt;0),N(C41)+N(D41)-N(G41)-N(H41),"")</f>
        <v/>
      </c>
      <c r="O41" s="8" t="str">
        <f>IF(AND(ISNUMBER(N41),ISNUMBER(I41)),ROUND(I41-N41,2),"")</f>
        <v/>
      </c>
      <c r="P41" s="9" t="str">
        <f>IF(ISNUMBER(O41),IF(AND(ISNUMBER($G$5),ABS(O41)&gt;$G$5),"Revisa el descuadre",IF(AND(ISNUMBER(J41),ISNUMBER(E41)),IF(ROUND(J41-E41,2)&lt;&gt;0,"El datáfono no cuadra con la tarjeta",""),"")),IF(AND(ISNUMBER(J41),ISNUMBER(E41)),IF(ROUND(J41-E41,2)&lt;&gt;0,"El datáfono no cuadra con la tarjeta",""),""))</f>
        <v/>
      </c>
      <c r="Q41" s="4" t="n"/>
    </row>
    <row r="42">
      <c r="A42" s="7" t="n"/>
      <c r="B42" t="str">
        <f>IF(ISNUMBER(A42),CHOOSE(WEEKDAY(A42,2),"lunes","martes","miércoles","jueves","viernes","sábado","domingo"),"")</f>
        <v/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8" t="str">
        <f>IF(AND(ISNUMBER(A42),COUNT(D42:F42)&gt;0),N(D42)+N(E42)+N(F42),"")</f>
        <v/>
      </c>
      <c r="M42" s="8" t="str">
        <f>IF(AND(ISNUMBER(L42),ISNUMBER($C$5),$C$5&gt;=0),ROUND(L42/(1+$C$5/100),2),"")</f>
        <v/>
      </c>
      <c r="N42" s="8" t="str">
        <f>IF(AND(ISNUMBER(A42),COUNT(C42:D42)&gt;0),N(C42)+N(D42)-N(G42)-N(H42),"")</f>
        <v/>
      </c>
      <c r="O42" s="8" t="str">
        <f>IF(AND(ISNUMBER(N42),ISNUMBER(I42)),ROUND(I42-N42,2),"")</f>
        <v/>
      </c>
      <c r="P42" s="9" t="str">
        <f>IF(ISNUMBER(O42),IF(AND(ISNUMBER($G$5),ABS(O42)&gt;$G$5),"Revisa el descuadre",IF(AND(ISNUMBER(J42),ISNUMBER(E42)),IF(ROUND(J42-E42,2)&lt;&gt;0,"El datáfono no cuadra con la tarjeta",""),"")),IF(AND(ISNUMBER(J42),ISNUMBER(E42)),IF(ROUND(J42-E42,2)&lt;&gt;0,"El datáfono no cuadra con la tarjeta",""),""))</f>
        <v/>
      </c>
      <c r="Q42" s="4" t="n"/>
    </row>
    <row r="43">
      <c r="A43" s="7" t="n"/>
      <c r="B43" t="str">
        <f>IF(ISNUMBER(A43),CHOOSE(WEEKDAY(A43,2),"lunes","martes","miércoles","jueves","viernes","sábado","domingo"),"")</f>
        <v/>
      </c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8" t="str">
        <f>IF(AND(ISNUMBER(A43),COUNT(D43:F43)&gt;0),N(D43)+N(E43)+N(F43),"")</f>
        <v/>
      </c>
      <c r="M43" s="8" t="str">
        <f>IF(AND(ISNUMBER(L43),ISNUMBER($C$5),$C$5&gt;=0),ROUND(L43/(1+$C$5/100),2),"")</f>
        <v/>
      </c>
      <c r="N43" s="8" t="str">
        <f>IF(AND(ISNUMBER(A43),COUNT(C43:D43)&gt;0),N(C43)+N(D43)-N(G43)-N(H43),"")</f>
        <v/>
      </c>
      <c r="O43" s="8" t="str">
        <f>IF(AND(ISNUMBER(N43),ISNUMBER(I43)),ROUND(I43-N43,2),"")</f>
        <v/>
      </c>
      <c r="P43" s="9" t="str">
        <f>IF(ISNUMBER(O43),IF(AND(ISNUMBER($G$5),ABS(O43)&gt;$G$5),"Revisa el descuadre",IF(AND(ISNUMBER(J43),ISNUMBER(E43)),IF(ROUND(J43-E43,2)&lt;&gt;0,"El datáfono no cuadra con la tarjeta",""),"")),IF(AND(ISNUMBER(J43),ISNUMBER(E43)),IF(ROUND(J43-E43,2)&lt;&gt;0,"El datáfono no cuadra con la tarjeta",""),""))</f>
        <v/>
      </c>
      <c r="Q43" s="4" t="n"/>
    </row>
    <row r="44">
      <c r="A44" s="7" t="n"/>
      <c r="B44" t="str">
        <f>IF(ISNUMBER(A44),CHOOSE(WEEKDAY(A44,2),"lunes","martes","miércoles","jueves","viernes","sábado","domingo"),"")</f>
        <v/>
      </c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8" t="str">
        <f>IF(AND(ISNUMBER(A44),COUNT(D44:F44)&gt;0),N(D44)+N(E44)+N(F44),"")</f>
        <v/>
      </c>
      <c r="M44" s="8" t="str">
        <f>IF(AND(ISNUMBER(L44),ISNUMBER($C$5),$C$5&gt;=0),ROUND(L44/(1+$C$5/100),2),"")</f>
        <v/>
      </c>
      <c r="N44" s="8" t="str">
        <f>IF(AND(ISNUMBER(A44),COUNT(C44:D44)&gt;0),N(C44)+N(D44)-N(G44)-N(H44),"")</f>
        <v/>
      </c>
      <c r="O44" s="8" t="str">
        <f>IF(AND(ISNUMBER(N44),ISNUMBER(I44)),ROUND(I44-N44,2),"")</f>
        <v/>
      </c>
      <c r="P44" s="9" t="str">
        <f>IF(ISNUMBER(O44),IF(AND(ISNUMBER($G$5),ABS(O44)&gt;$G$5),"Revisa el descuadre",IF(AND(ISNUMBER(J44),ISNUMBER(E44)),IF(ROUND(J44-E44,2)&lt;&gt;0,"El datáfono no cuadra con la tarjeta",""),"")),IF(AND(ISNUMBER(J44),ISNUMBER(E44)),IF(ROUND(J44-E44,2)&lt;&gt;0,"El datáfono no cuadra con la tarjeta",""),""))</f>
        <v/>
      </c>
      <c r="Q44" s="4" t="n"/>
    </row>
    <row r="45">
      <c r="A45" s="7" t="n"/>
      <c r="B45" t="str">
        <f>IF(ISNUMBER(A45),CHOOSE(WEEKDAY(A45,2),"lunes","martes","miércoles","jueves","viernes","sábado","domingo"),"")</f>
        <v/>
      </c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8" t="str">
        <f>IF(AND(ISNUMBER(A45),COUNT(D45:F45)&gt;0),N(D45)+N(E45)+N(F45),"")</f>
        <v/>
      </c>
      <c r="M45" s="8" t="str">
        <f>IF(AND(ISNUMBER(L45),ISNUMBER($C$5),$C$5&gt;=0),ROUND(L45/(1+$C$5/100),2),"")</f>
        <v/>
      </c>
      <c r="N45" s="8" t="str">
        <f>IF(AND(ISNUMBER(A45),COUNT(C45:D45)&gt;0),N(C45)+N(D45)-N(G45)-N(H45),"")</f>
        <v/>
      </c>
      <c r="O45" s="8" t="str">
        <f>IF(AND(ISNUMBER(N45),ISNUMBER(I45)),ROUND(I45-N45,2),"")</f>
        <v/>
      </c>
      <c r="P45" s="9" t="str">
        <f>IF(ISNUMBER(O45),IF(AND(ISNUMBER($G$5),ABS(O45)&gt;$G$5),"Revisa el descuadre",IF(AND(ISNUMBER(J45),ISNUMBER(E45)),IF(ROUND(J45-E45,2)&lt;&gt;0,"El datáfono no cuadra con la tarjeta",""),"")),IF(AND(ISNUMBER(J45),ISNUMBER(E45)),IF(ROUND(J45-E45,2)&lt;&gt;0,"El datáfono no cuadra con la tarjeta",""),""))</f>
        <v/>
      </c>
      <c r="Q45" s="4" t="n"/>
    </row>
    <row r="46">
      <c r="A46" s="7" t="n"/>
      <c r="B46" t="str">
        <f>IF(ISNUMBER(A46),CHOOSE(WEEKDAY(A46,2),"lunes","martes","miércoles","jueves","viernes","sábado","domingo"),"")</f>
        <v/>
      </c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8" t="str">
        <f>IF(AND(ISNUMBER(A46),COUNT(D46:F46)&gt;0),N(D46)+N(E46)+N(F46),"")</f>
        <v/>
      </c>
      <c r="M46" s="8" t="str">
        <f>IF(AND(ISNUMBER(L46),ISNUMBER($C$5),$C$5&gt;=0),ROUND(L46/(1+$C$5/100),2),"")</f>
        <v/>
      </c>
      <c r="N46" s="8" t="str">
        <f>IF(AND(ISNUMBER(A46),COUNT(C46:D46)&gt;0),N(C46)+N(D46)-N(G46)-N(H46),"")</f>
        <v/>
      </c>
      <c r="O46" s="8" t="str">
        <f>IF(AND(ISNUMBER(N46),ISNUMBER(I46)),ROUND(I46-N46,2),"")</f>
        <v/>
      </c>
      <c r="P46" s="9" t="str">
        <f>IF(ISNUMBER(O46),IF(AND(ISNUMBER($G$5),ABS(O46)&gt;$G$5),"Revisa el descuadre",IF(AND(ISNUMBER(J46),ISNUMBER(E46)),IF(ROUND(J46-E46,2)&lt;&gt;0,"El datáfono no cuadra con la tarjeta",""),"")),IF(AND(ISNUMBER(J46),ISNUMBER(E46)),IF(ROUND(J46-E46,2)&lt;&gt;0,"El datáfono no cuadra con la tarjeta",""),""))</f>
        <v/>
      </c>
      <c r="Q46" s="4" t="n"/>
    </row>
    <row r="47">
      <c r="A47" s="7" t="n"/>
      <c r="B47" t="str">
        <f>IF(ISNUMBER(A47),CHOOSE(WEEKDAY(A47,2),"lunes","martes","miércoles","jueves","viernes","sábado","domingo"),"")</f>
        <v/>
      </c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8" t="str">
        <f>IF(AND(ISNUMBER(A47),COUNT(D47:F47)&gt;0),N(D47)+N(E47)+N(F47),"")</f>
        <v/>
      </c>
      <c r="M47" s="8" t="str">
        <f>IF(AND(ISNUMBER(L47),ISNUMBER($C$5),$C$5&gt;=0),ROUND(L47/(1+$C$5/100),2),"")</f>
        <v/>
      </c>
      <c r="N47" s="8" t="str">
        <f>IF(AND(ISNUMBER(A47),COUNT(C47:D47)&gt;0),N(C47)+N(D47)-N(G47)-N(H47),"")</f>
        <v/>
      </c>
      <c r="O47" s="8" t="str">
        <f>IF(AND(ISNUMBER(N47),ISNUMBER(I47)),ROUND(I47-N47,2),"")</f>
        <v/>
      </c>
      <c r="P47" s="9" t="str">
        <f>IF(ISNUMBER(O47),IF(AND(ISNUMBER($G$5),ABS(O47)&gt;$G$5),"Revisa el descuadre",IF(AND(ISNUMBER(J47),ISNUMBER(E47)),IF(ROUND(J47-E47,2)&lt;&gt;0,"El datáfono no cuadra con la tarjeta",""),"")),IF(AND(ISNUMBER(J47),ISNUMBER(E47)),IF(ROUND(J47-E47,2)&lt;&gt;0,"El datáfono no cuadra con la tarjeta",""),""))</f>
        <v/>
      </c>
      <c r="Q47" s="4" t="n"/>
    </row>
    <row r="48">
      <c r="A48" s="7" t="n"/>
      <c r="B48" t="str">
        <f>IF(ISNUMBER(A48),CHOOSE(WEEKDAY(A48,2),"lunes","martes","miércoles","jueves","viernes","sábado","domingo"),"")</f>
        <v/>
      </c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8" t="str">
        <f>IF(AND(ISNUMBER(A48),COUNT(D48:F48)&gt;0),N(D48)+N(E48)+N(F48),"")</f>
        <v/>
      </c>
      <c r="M48" s="8" t="str">
        <f>IF(AND(ISNUMBER(L48),ISNUMBER($C$5),$C$5&gt;=0),ROUND(L48/(1+$C$5/100),2),"")</f>
        <v/>
      </c>
      <c r="N48" s="8" t="str">
        <f>IF(AND(ISNUMBER(A48),COUNT(C48:D48)&gt;0),N(C48)+N(D48)-N(G48)-N(H48),"")</f>
        <v/>
      </c>
      <c r="O48" s="8" t="str">
        <f>IF(AND(ISNUMBER(N48),ISNUMBER(I48)),ROUND(I48-N48,2),"")</f>
        <v/>
      </c>
      <c r="P48" s="9" t="str">
        <f>IF(ISNUMBER(O48),IF(AND(ISNUMBER($G$5),ABS(O48)&gt;$G$5),"Revisa el descuadre",IF(AND(ISNUMBER(J48),ISNUMBER(E48)),IF(ROUND(J48-E48,2)&lt;&gt;0,"El datáfono no cuadra con la tarjeta",""),"")),IF(AND(ISNUMBER(J48),ISNUMBER(E48)),IF(ROUND(J48-E48,2)&lt;&gt;0,"El datáfono no cuadra con la tarjeta",""),""))</f>
        <v/>
      </c>
      <c r="Q48" s="4" t="n"/>
    </row>
    <row r="49">
      <c r="A49" s="7" t="n"/>
      <c r="B49" t="str">
        <f>IF(ISNUMBER(A49),CHOOSE(WEEKDAY(A49,2),"lunes","martes","miércoles","jueves","viernes","sábado","domingo"),"")</f>
        <v/>
      </c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8" t="str">
        <f>IF(AND(ISNUMBER(A49),COUNT(D49:F49)&gt;0),N(D49)+N(E49)+N(F49),"")</f>
        <v/>
      </c>
      <c r="M49" s="8" t="str">
        <f>IF(AND(ISNUMBER(L49),ISNUMBER($C$5),$C$5&gt;=0),ROUND(L49/(1+$C$5/100),2),"")</f>
        <v/>
      </c>
      <c r="N49" s="8" t="str">
        <f>IF(AND(ISNUMBER(A49),COUNT(C49:D49)&gt;0),N(C49)+N(D49)-N(G49)-N(H49),"")</f>
        <v/>
      </c>
      <c r="O49" s="8" t="str">
        <f>IF(AND(ISNUMBER(N49),ISNUMBER(I49)),ROUND(I49-N49,2),"")</f>
        <v/>
      </c>
      <c r="P49" s="9" t="str">
        <f>IF(ISNUMBER(O49),IF(AND(ISNUMBER($G$5),ABS(O49)&gt;$G$5),"Revisa el descuadre",IF(AND(ISNUMBER(J49),ISNUMBER(E49)),IF(ROUND(J49-E49,2)&lt;&gt;0,"El datáfono no cuadra con la tarjeta",""),"")),IF(AND(ISNUMBER(J49),ISNUMBER(E49)),IF(ROUND(J49-E49,2)&lt;&gt;0,"El datáfono no cuadra con la tarjeta",""),""))</f>
        <v/>
      </c>
      <c r="Q49" s="4" t="n"/>
    </row>
    <row r="50">
      <c r="A50" s="7" t="n"/>
      <c r="B50" t="str">
        <f>IF(ISNUMBER(A50),CHOOSE(WEEKDAY(A50,2),"lunes","martes","miércoles","jueves","viernes","sábado","domingo"),"")</f>
        <v/>
      </c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8" t="str">
        <f>IF(AND(ISNUMBER(A50),COUNT(D50:F50)&gt;0),N(D50)+N(E50)+N(F50),"")</f>
        <v/>
      </c>
      <c r="M50" s="8" t="str">
        <f>IF(AND(ISNUMBER(L50),ISNUMBER($C$5),$C$5&gt;=0),ROUND(L50/(1+$C$5/100),2),"")</f>
        <v/>
      </c>
      <c r="N50" s="8" t="str">
        <f>IF(AND(ISNUMBER(A50),COUNT(C50:D50)&gt;0),N(C50)+N(D50)-N(G50)-N(H50),"")</f>
        <v/>
      </c>
      <c r="O50" s="8" t="str">
        <f>IF(AND(ISNUMBER(N50),ISNUMBER(I50)),ROUND(I50-N50,2),"")</f>
        <v/>
      </c>
      <c r="P50" s="9" t="str">
        <f>IF(ISNUMBER(O50),IF(AND(ISNUMBER($G$5),ABS(O50)&gt;$G$5),"Revisa el descuadre",IF(AND(ISNUMBER(J50),ISNUMBER(E50)),IF(ROUND(J50-E50,2)&lt;&gt;0,"El datáfono no cuadra con la tarjeta",""),"")),IF(AND(ISNUMBER(J50),ISNUMBER(E50)),IF(ROUND(J50-E50,2)&lt;&gt;0,"El datáfono no cuadra con la tarjeta",""),""))</f>
        <v/>
      </c>
      <c r="Q50" s="4" t="n"/>
    </row>
    <row r="51">
      <c r="A51" s="7" t="n"/>
      <c r="B51" t="str">
        <f>IF(ISNUMBER(A51),CHOOSE(WEEKDAY(A51,2),"lunes","martes","miércoles","jueves","viernes","sábado","domingo"),"")</f>
        <v/>
      </c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8" t="str">
        <f>IF(AND(ISNUMBER(A51),COUNT(D51:F51)&gt;0),N(D51)+N(E51)+N(F51),"")</f>
        <v/>
      </c>
      <c r="M51" s="8" t="str">
        <f>IF(AND(ISNUMBER(L51),ISNUMBER($C$5),$C$5&gt;=0),ROUND(L51/(1+$C$5/100),2),"")</f>
        <v/>
      </c>
      <c r="N51" s="8" t="str">
        <f>IF(AND(ISNUMBER(A51),COUNT(C51:D51)&gt;0),N(C51)+N(D51)-N(G51)-N(H51),"")</f>
        <v/>
      </c>
      <c r="O51" s="8" t="str">
        <f>IF(AND(ISNUMBER(N51),ISNUMBER(I51)),ROUND(I51-N51,2),"")</f>
        <v/>
      </c>
      <c r="P51" s="9" t="str">
        <f>IF(ISNUMBER(O51),IF(AND(ISNUMBER($G$5),ABS(O51)&gt;$G$5),"Revisa el descuadre",IF(AND(ISNUMBER(J51),ISNUMBER(E51)),IF(ROUND(J51-E51,2)&lt;&gt;0,"El datáfono no cuadra con la tarjeta",""),"")),IF(AND(ISNUMBER(J51),ISNUMBER(E51)),IF(ROUND(J51-E51,2)&lt;&gt;0,"El datáfono no cuadra con la tarjeta",""),""))</f>
        <v/>
      </c>
      <c r="Q51" s="4" t="n"/>
    </row>
    <row r="52">
      <c r="A52" s="7" t="n"/>
      <c r="B52" t="str">
        <f>IF(ISNUMBER(A52),CHOOSE(WEEKDAY(A52,2),"lunes","martes","miércoles","jueves","viernes","sábado","domingo"),"")</f>
        <v/>
      </c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8" t="str">
        <f>IF(AND(ISNUMBER(A52),COUNT(D52:F52)&gt;0),N(D52)+N(E52)+N(F52),"")</f>
        <v/>
      </c>
      <c r="M52" s="8" t="str">
        <f>IF(AND(ISNUMBER(L52),ISNUMBER($C$5),$C$5&gt;=0),ROUND(L52/(1+$C$5/100),2),"")</f>
        <v/>
      </c>
      <c r="N52" s="8" t="str">
        <f>IF(AND(ISNUMBER(A52),COUNT(C52:D52)&gt;0),N(C52)+N(D52)-N(G52)-N(H52),"")</f>
        <v/>
      </c>
      <c r="O52" s="8" t="str">
        <f>IF(AND(ISNUMBER(N52),ISNUMBER(I52)),ROUND(I52-N52,2),"")</f>
        <v/>
      </c>
      <c r="P52" s="9" t="str">
        <f>IF(ISNUMBER(O52),IF(AND(ISNUMBER($G$5),ABS(O52)&gt;$G$5),"Revisa el descuadre",IF(AND(ISNUMBER(J52),ISNUMBER(E52)),IF(ROUND(J52-E52,2)&lt;&gt;0,"El datáfono no cuadra con la tarjeta",""),"")),IF(AND(ISNUMBER(J52),ISNUMBER(E52)),IF(ROUND(J52-E52,2)&lt;&gt;0,"El datáfono no cuadra con la tarjeta",""),""))</f>
        <v/>
      </c>
      <c r="Q52" s="4" t="n"/>
    </row>
    <row r="53">
      <c r="A53" s="7" t="n"/>
      <c r="B53" t="str">
        <f>IF(ISNUMBER(A53),CHOOSE(WEEKDAY(A53,2),"lunes","martes","miércoles","jueves","viernes","sábado","domingo"),"")</f>
        <v/>
      </c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8" t="str">
        <f>IF(AND(ISNUMBER(A53),COUNT(D53:F53)&gt;0),N(D53)+N(E53)+N(F53),"")</f>
        <v/>
      </c>
      <c r="M53" s="8" t="str">
        <f>IF(AND(ISNUMBER(L53),ISNUMBER($C$5),$C$5&gt;=0),ROUND(L53/(1+$C$5/100),2),"")</f>
        <v/>
      </c>
      <c r="N53" s="8" t="str">
        <f>IF(AND(ISNUMBER(A53),COUNT(C53:D53)&gt;0),N(C53)+N(D53)-N(G53)-N(H53),"")</f>
        <v/>
      </c>
      <c r="O53" s="8" t="str">
        <f>IF(AND(ISNUMBER(N53),ISNUMBER(I53)),ROUND(I53-N53,2),"")</f>
        <v/>
      </c>
      <c r="P53" s="9" t="str">
        <f>IF(ISNUMBER(O53),IF(AND(ISNUMBER($G$5),ABS(O53)&gt;$G$5),"Revisa el descuadre",IF(AND(ISNUMBER(J53),ISNUMBER(E53)),IF(ROUND(J53-E53,2)&lt;&gt;0,"El datáfono no cuadra con la tarjeta",""),"")),IF(AND(ISNUMBER(J53),ISNUMBER(E53)),IF(ROUND(J53-E53,2)&lt;&gt;0,"El datáfono no cuadra con la tarjeta",""),""))</f>
        <v/>
      </c>
      <c r="Q53" s="4" t="n"/>
    </row>
    <row r="54">
      <c r="A54" s="7" t="n"/>
      <c r="B54" t="str">
        <f>IF(ISNUMBER(A54),CHOOSE(WEEKDAY(A54,2),"lunes","martes","miércoles","jueves","viernes","sábado","domingo"),"")</f>
        <v/>
      </c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8" t="str">
        <f>IF(AND(ISNUMBER(A54),COUNT(D54:F54)&gt;0),N(D54)+N(E54)+N(F54),"")</f>
        <v/>
      </c>
      <c r="M54" s="8" t="str">
        <f>IF(AND(ISNUMBER(L54),ISNUMBER($C$5),$C$5&gt;=0),ROUND(L54/(1+$C$5/100),2),"")</f>
        <v/>
      </c>
      <c r="N54" s="8" t="str">
        <f>IF(AND(ISNUMBER(A54),COUNT(C54:D54)&gt;0),N(C54)+N(D54)-N(G54)-N(H54),"")</f>
        <v/>
      </c>
      <c r="O54" s="8" t="str">
        <f>IF(AND(ISNUMBER(N54),ISNUMBER(I54)),ROUND(I54-N54,2),"")</f>
        <v/>
      </c>
      <c r="P54" s="9" t="str">
        <f>IF(ISNUMBER(O54),IF(AND(ISNUMBER($G$5),ABS(O54)&gt;$G$5),"Revisa el descuadre",IF(AND(ISNUMBER(J54),ISNUMBER(E54)),IF(ROUND(J54-E54,2)&lt;&gt;0,"El datáfono no cuadra con la tarjeta",""),"")),IF(AND(ISNUMBER(J54),ISNUMBER(E54)),IF(ROUND(J54-E54,2)&lt;&gt;0,"El datáfono no cuadra con la tarjeta",""),""))</f>
        <v/>
      </c>
      <c r="Q54" s="4" t="n"/>
    </row>
    <row r="55">
      <c r="A55" s="7" t="n"/>
      <c r="B55" t="str">
        <f>IF(ISNUMBER(A55),CHOOSE(WEEKDAY(A55,2),"lunes","martes","miércoles","jueves","viernes","sábado","domingo"),"")</f>
        <v/>
      </c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8" t="str">
        <f>IF(AND(ISNUMBER(A55),COUNT(D55:F55)&gt;0),N(D55)+N(E55)+N(F55),"")</f>
        <v/>
      </c>
      <c r="M55" s="8" t="str">
        <f>IF(AND(ISNUMBER(L55),ISNUMBER($C$5),$C$5&gt;=0),ROUND(L55/(1+$C$5/100),2),"")</f>
        <v/>
      </c>
      <c r="N55" s="8" t="str">
        <f>IF(AND(ISNUMBER(A55),COUNT(C55:D55)&gt;0),N(C55)+N(D55)-N(G55)-N(H55),"")</f>
        <v/>
      </c>
      <c r="O55" s="8" t="str">
        <f>IF(AND(ISNUMBER(N55),ISNUMBER(I55)),ROUND(I55-N55,2),"")</f>
        <v/>
      </c>
      <c r="P55" s="9" t="str">
        <f>IF(ISNUMBER(O55),IF(AND(ISNUMBER($G$5),ABS(O55)&gt;$G$5),"Revisa el descuadre",IF(AND(ISNUMBER(J55),ISNUMBER(E55)),IF(ROUND(J55-E55,2)&lt;&gt;0,"El datáfono no cuadra con la tarjeta",""),"")),IF(AND(ISNUMBER(J55),ISNUMBER(E55)),IF(ROUND(J55-E55,2)&lt;&gt;0,"El datáfono no cuadra con la tarjeta",""),""))</f>
        <v/>
      </c>
      <c r="Q55" s="4" t="n"/>
    </row>
    <row r="56">
      <c r="A56" s="7" t="n"/>
      <c r="B56" t="str">
        <f>IF(ISNUMBER(A56),CHOOSE(WEEKDAY(A56,2),"lunes","martes","miércoles","jueves","viernes","sábado","domingo"),"")</f>
        <v/>
      </c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8" t="str">
        <f>IF(AND(ISNUMBER(A56),COUNT(D56:F56)&gt;0),N(D56)+N(E56)+N(F56),"")</f>
        <v/>
      </c>
      <c r="M56" s="8" t="str">
        <f>IF(AND(ISNUMBER(L56),ISNUMBER($C$5),$C$5&gt;=0),ROUND(L56/(1+$C$5/100),2),"")</f>
        <v/>
      </c>
      <c r="N56" s="8" t="str">
        <f>IF(AND(ISNUMBER(A56),COUNT(C56:D56)&gt;0),N(C56)+N(D56)-N(G56)-N(H56),"")</f>
        <v/>
      </c>
      <c r="O56" s="8" t="str">
        <f>IF(AND(ISNUMBER(N56),ISNUMBER(I56)),ROUND(I56-N56,2),"")</f>
        <v/>
      </c>
      <c r="P56" s="9" t="str">
        <f>IF(ISNUMBER(O56),IF(AND(ISNUMBER($G$5),ABS(O56)&gt;$G$5),"Revisa el descuadre",IF(AND(ISNUMBER(J56),ISNUMBER(E56)),IF(ROUND(J56-E56,2)&lt;&gt;0,"El datáfono no cuadra con la tarjeta",""),"")),IF(AND(ISNUMBER(J56),ISNUMBER(E56)),IF(ROUND(J56-E56,2)&lt;&gt;0,"El datáfono no cuadra con la tarjeta",""),""))</f>
        <v/>
      </c>
      <c r="Q56" s="4" t="n"/>
    </row>
    <row r="57">
      <c r="A57" s="7" t="n"/>
      <c r="B57" t="str">
        <f>IF(ISNUMBER(A57),CHOOSE(WEEKDAY(A57,2),"lunes","martes","miércoles","jueves","viernes","sábado","domingo"),"")</f>
        <v/>
      </c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8" t="str">
        <f>IF(AND(ISNUMBER(A57),COUNT(D57:F57)&gt;0),N(D57)+N(E57)+N(F57),"")</f>
        <v/>
      </c>
      <c r="M57" s="8" t="str">
        <f>IF(AND(ISNUMBER(L57),ISNUMBER($C$5),$C$5&gt;=0),ROUND(L57/(1+$C$5/100),2),"")</f>
        <v/>
      </c>
      <c r="N57" s="8" t="str">
        <f>IF(AND(ISNUMBER(A57),COUNT(C57:D57)&gt;0),N(C57)+N(D57)-N(G57)-N(H57),"")</f>
        <v/>
      </c>
      <c r="O57" s="8" t="str">
        <f>IF(AND(ISNUMBER(N57),ISNUMBER(I57)),ROUND(I57-N57,2),"")</f>
        <v/>
      </c>
      <c r="P57" s="9" t="str">
        <f>IF(ISNUMBER(O57),IF(AND(ISNUMBER($G$5),ABS(O57)&gt;$G$5),"Revisa el descuadre",IF(AND(ISNUMBER(J57),ISNUMBER(E57)),IF(ROUND(J57-E57,2)&lt;&gt;0,"El datáfono no cuadra con la tarjeta",""),"")),IF(AND(ISNUMBER(J57),ISNUMBER(E57)),IF(ROUND(J57-E57,2)&lt;&gt;0,"El datáfono no cuadra con la tarjeta",""),""))</f>
        <v/>
      </c>
      <c r="Q57" s="4" t="n"/>
    </row>
    <row r="58">
      <c r="A58" s="7" t="n"/>
      <c r="B58" t="str">
        <f>IF(ISNUMBER(A58),CHOOSE(WEEKDAY(A58,2),"lunes","martes","miércoles","jueves","viernes","sábado","domingo"),"")</f>
        <v/>
      </c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8" t="str">
        <f>IF(AND(ISNUMBER(A58),COUNT(D58:F58)&gt;0),N(D58)+N(E58)+N(F58),"")</f>
        <v/>
      </c>
      <c r="M58" s="8" t="str">
        <f>IF(AND(ISNUMBER(L58),ISNUMBER($C$5),$C$5&gt;=0),ROUND(L58/(1+$C$5/100),2),"")</f>
        <v/>
      </c>
      <c r="N58" s="8" t="str">
        <f>IF(AND(ISNUMBER(A58),COUNT(C58:D58)&gt;0),N(C58)+N(D58)-N(G58)-N(H58),"")</f>
        <v/>
      </c>
      <c r="O58" s="8" t="str">
        <f>IF(AND(ISNUMBER(N58),ISNUMBER(I58)),ROUND(I58-N58,2),"")</f>
        <v/>
      </c>
      <c r="P58" s="9" t="str">
        <f>IF(ISNUMBER(O58),IF(AND(ISNUMBER($G$5),ABS(O58)&gt;$G$5),"Revisa el descuadre",IF(AND(ISNUMBER(J58),ISNUMBER(E58)),IF(ROUND(J58-E58,2)&lt;&gt;0,"El datáfono no cuadra con la tarjeta",""),"")),IF(AND(ISNUMBER(J58),ISNUMBER(E58)),IF(ROUND(J58-E58,2)&lt;&gt;0,"El datáfono no cuadra con la tarjeta",""),""))</f>
        <v/>
      </c>
      <c r="Q58" s="4" t="n"/>
    </row>
    <row r="59">
      <c r="A59" s="7" t="n"/>
      <c r="B59" t="str">
        <f>IF(ISNUMBER(A59),CHOOSE(WEEKDAY(A59,2),"lunes","martes","miércoles","jueves","viernes","sábado","domingo"),"")</f>
        <v/>
      </c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8" t="str">
        <f>IF(AND(ISNUMBER(A59),COUNT(D59:F59)&gt;0),N(D59)+N(E59)+N(F59),"")</f>
        <v/>
      </c>
      <c r="M59" s="8" t="str">
        <f>IF(AND(ISNUMBER(L59),ISNUMBER($C$5),$C$5&gt;=0),ROUND(L59/(1+$C$5/100),2),"")</f>
        <v/>
      </c>
      <c r="N59" s="8" t="str">
        <f>IF(AND(ISNUMBER(A59),COUNT(C59:D59)&gt;0),N(C59)+N(D59)-N(G59)-N(H59),"")</f>
        <v/>
      </c>
      <c r="O59" s="8" t="str">
        <f>IF(AND(ISNUMBER(N59),ISNUMBER(I59)),ROUND(I59-N59,2),"")</f>
        <v/>
      </c>
      <c r="P59" s="9" t="str">
        <f>IF(ISNUMBER(O59),IF(AND(ISNUMBER($G$5),ABS(O59)&gt;$G$5),"Revisa el descuadre",IF(AND(ISNUMBER(J59),ISNUMBER(E59)),IF(ROUND(J59-E59,2)&lt;&gt;0,"El datáfono no cuadra con la tarjeta",""),"")),IF(AND(ISNUMBER(J59),ISNUMBER(E59)),IF(ROUND(J59-E59,2)&lt;&gt;0,"El datáfono no cuadra con la tarjeta",""),""))</f>
        <v/>
      </c>
      <c r="Q59" s="4" t="n"/>
    </row>
    <row r="60">
      <c r="A60" s="7" t="n"/>
      <c r="B60" t="str">
        <f>IF(ISNUMBER(A60),CHOOSE(WEEKDAY(A60,2),"lunes","martes","miércoles","jueves","viernes","sábado","domingo"),"")</f>
        <v/>
      </c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8" t="str">
        <f>IF(AND(ISNUMBER(A60),COUNT(D60:F60)&gt;0),N(D60)+N(E60)+N(F60),"")</f>
        <v/>
      </c>
      <c r="M60" s="8" t="str">
        <f>IF(AND(ISNUMBER(L60),ISNUMBER($C$5),$C$5&gt;=0),ROUND(L60/(1+$C$5/100),2),"")</f>
        <v/>
      </c>
      <c r="N60" s="8" t="str">
        <f>IF(AND(ISNUMBER(A60),COUNT(C60:D60)&gt;0),N(C60)+N(D60)-N(G60)-N(H60),"")</f>
        <v/>
      </c>
      <c r="O60" s="8" t="str">
        <f>IF(AND(ISNUMBER(N60),ISNUMBER(I60)),ROUND(I60-N60,2),"")</f>
        <v/>
      </c>
      <c r="P60" s="9" t="str">
        <f>IF(ISNUMBER(O60),IF(AND(ISNUMBER($G$5),ABS(O60)&gt;$G$5),"Revisa el descuadre",IF(AND(ISNUMBER(J60),ISNUMBER(E60)),IF(ROUND(J60-E60,2)&lt;&gt;0,"El datáfono no cuadra con la tarjeta",""),"")),IF(AND(ISNUMBER(J60),ISNUMBER(E60)),IF(ROUND(J60-E60,2)&lt;&gt;0,"El datáfono no cuadra con la tarjeta",""),""))</f>
        <v/>
      </c>
      <c r="Q60" s="4" t="n"/>
    </row>
    <row r="61">
      <c r="A61" s="7" t="n"/>
      <c r="B61" t="str">
        <f>IF(ISNUMBER(A61),CHOOSE(WEEKDAY(A61,2),"lunes","martes","miércoles","jueves","viernes","sábado","domingo"),"")</f>
        <v/>
      </c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8" t="str">
        <f>IF(AND(ISNUMBER(A61),COUNT(D61:F61)&gt;0),N(D61)+N(E61)+N(F61),"")</f>
        <v/>
      </c>
      <c r="M61" s="8" t="str">
        <f>IF(AND(ISNUMBER(L61),ISNUMBER($C$5),$C$5&gt;=0),ROUND(L61/(1+$C$5/100),2),"")</f>
        <v/>
      </c>
      <c r="N61" s="8" t="str">
        <f>IF(AND(ISNUMBER(A61),COUNT(C61:D61)&gt;0),N(C61)+N(D61)-N(G61)-N(H61),"")</f>
        <v/>
      </c>
      <c r="O61" s="8" t="str">
        <f>IF(AND(ISNUMBER(N61),ISNUMBER(I61)),ROUND(I61-N61,2),"")</f>
        <v/>
      </c>
      <c r="P61" s="9" t="str">
        <f>IF(ISNUMBER(O61),IF(AND(ISNUMBER($G$5),ABS(O61)&gt;$G$5),"Revisa el descuadre",IF(AND(ISNUMBER(J61),ISNUMBER(E61)),IF(ROUND(J61-E61,2)&lt;&gt;0,"El datáfono no cuadra con la tarjeta",""),"")),IF(AND(ISNUMBER(J61),ISNUMBER(E61)),IF(ROUND(J61-E61,2)&lt;&gt;0,"El datáfono no cuadra con la tarjeta",""),""))</f>
        <v/>
      </c>
      <c r="Q61" s="4" t="n"/>
    </row>
    <row r="62">
      <c r="A62" s="7" t="n"/>
      <c r="B62" t="str">
        <f>IF(ISNUMBER(A62),CHOOSE(WEEKDAY(A62,2),"lunes","martes","miércoles","jueves","viernes","sábado","domingo"),"")</f>
        <v/>
      </c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8" t="str">
        <f>IF(AND(ISNUMBER(A62),COUNT(D62:F62)&gt;0),N(D62)+N(E62)+N(F62),"")</f>
        <v/>
      </c>
      <c r="M62" s="8" t="str">
        <f>IF(AND(ISNUMBER(L62),ISNUMBER($C$5),$C$5&gt;=0),ROUND(L62/(1+$C$5/100),2),"")</f>
        <v/>
      </c>
      <c r="N62" s="8" t="str">
        <f>IF(AND(ISNUMBER(A62),COUNT(C62:D62)&gt;0),N(C62)+N(D62)-N(G62)-N(H62),"")</f>
        <v/>
      </c>
      <c r="O62" s="8" t="str">
        <f>IF(AND(ISNUMBER(N62),ISNUMBER(I62)),ROUND(I62-N62,2),"")</f>
        <v/>
      </c>
      <c r="P62" s="9" t="str">
        <f>IF(ISNUMBER(O62),IF(AND(ISNUMBER($G$5),ABS(O62)&gt;$G$5),"Revisa el descuadre",IF(AND(ISNUMBER(J62),ISNUMBER(E62)),IF(ROUND(J62-E62,2)&lt;&gt;0,"El datáfono no cuadra con la tarjeta",""),"")),IF(AND(ISNUMBER(J62),ISNUMBER(E62)),IF(ROUND(J62-E62,2)&lt;&gt;0,"El datáfono no cuadra con la tarjeta",""),""))</f>
        <v/>
      </c>
      <c r="Q62" s="4" t="n"/>
    </row>
    <row r="63">
      <c r="A63" s="7" t="n"/>
      <c r="B63" t="str">
        <f>IF(ISNUMBER(A63),CHOOSE(WEEKDAY(A63,2),"lunes","martes","miércoles","jueves","viernes","sábado","domingo"),"")</f>
        <v/>
      </c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8" t="str">
        <f>IF(AND(ISNUMBER(A63),COUNT(D63:F63)&gt;0),N(D63)+N(E63)+N(F63),"")</f>
        <v/>
      </c>
      <c r="M63" s="8" t="str">
        <f>IF(AND(ISNUMBER(L63),ISNUMBER($C$5),$C$5&gt;=0),ROUND(L63/(1+$C$5/100),2),"")</f>
        <v/>
      </c>
      <c r="N63" s="8" t="str">
        <f>IF(AND(ISNUMBER(A63),COUNT(C63:D63)&gt;0),N(C63)+N(D63)-N(G63)-N(H63),"")</f>
        <v/>
      </c>
      <c r="O63" s="8" t="str">
        <f>IF(AND(ISNUMBER(N63),ISNUMBER(I63)),ROUND(I63-N63,2),"")</f>
        <v/>
      </c>
      <c r="P63" s="9" t="str">
        <f>IF(ISNUMBER(O63),IF(AND(ISNUMBER($G$5),ABS(O63)&gt;$G$5),"Revisa el descuadre",IF(AND(ISNUMBER(J63),ISNUMBER(E63)),IF(ROUND(J63-E63,2)&lt;&gt;0,"El datáfono no cuadra con la tarjeta",""),"")),IF(AND(ISNUMBER(J63),ISNUMBER(E63)),IF(ROUND(J63-E63,2)&lt;&gt;0,"El datáfono no cuadra con la tarjeta",""),""))</f>
        <v/>
      </c>
      <c r="Q63" s="4" t="n"/>
    </row>
    <row r="64">
      <c r="A64" s="7" t="n"/>
      <c r="B64" t="str">
        <f>IF(ISNUMBER(A64),CHOOSE(WEEKDAY(A64,2),"lunes","martes","miércoles","jueves","viernes","sábado","domingo"),"")</f>
        <v/>
      </c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8" t="str">
        <f>IF(AND(ISNUMBER(A64),COUNT(D64:F64)&gt;0),N(D64)+N(E64)+N(F64),"")</f>
        <v/>
      </c>
      <c r="M64" s="8" t="str">
        <f>IF(AND(ISNUMBER(L64),ISNUMBER($C$5),$C$5&gt;=0),ROUND(L64/(1+$C$5/100),2),"")</f>
        <v/>
      </c>
      <c r="N64" s="8" t="str">
        <f>IF(AND(ISNUMBER(A64),COUNT(C64:D64)&gt;0),N(C64)+N(D64)-N(G64)-N(H64),"")</f>
        <v/>
      </c>
      <c r="O64" s="8" t="str">
        <f>IF(AND(ISNUMBER(N64),ISNUMBER(I64)),ROUND(I64-N64,2),"")</f>
        <v/>
      </c>
      <c r="P64" s="9" t="str">
        <f>IF(ISNUMBER(O64),IF(AND(ISNUMBER($G$5),ABS(O64)&gt;$G$5),"Revisa el descuadre",IF(AND(ISNUMBER(J64),ISNUMBER(E64)),IF(ROUND(J64-E64,2)&lt;&gt;0,"El datáfono no cuadra con la tarjeta",""),"")),IF(AND(ISNUMBER(J64),ISNUMBER(E64)),IF(ROUND(J64-E64,2)&lt;&gt;0,"El datáfono no cuadra con la tarjeta",""),""))</f>
        <v/>
      </c>
      <c r="Q64" s="4" t="n"/>
    </row>
    <row r="65">
      <c r="A65" s="7" t="n"/>
      <c r="B65" t="str">
        <f>IF(ISNUMBER(A65),CHOOSE(WEEKDAY(A65,2),"lunes","martes","miércoles","jueves","viernes","sábado","domingo"),"")</f>
        <v/>
      </c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8" t="str">
        <f>IF(AND(ISNUMBER(A65),COUNT(D65:F65)&gt;0),N(D65)+N(E65)+N(F65),"")</f>
        <v/>
      </c>
      <c r="M65" s="8" t="str">
        <f>IF(AND(ISNUMBER(L65),ISNUMBER($C$5),$C$5&gt;=0),ROUND(L65/(1+$C$5/100),2),"")</f>
        <v/>
      </c>
      <c r="N65" s="8" t="str">
        <f>IF(AND(ISNUMBER(A65),COUNT(C65:D65)&gt;0),N(C65)+N(D65)-N(G65)-N(H65),"")</f>
        <v/>
      </c>
      <c r="O65" s="8" t="str">
        <f>IF(AND(ISNUMBER(N65),ISNUMBER(I65)),ROUND(I65-N65,2),"")</f>
        <v/>
      </c>
      <c r="P65" s="9" t="str">
        <f>IF(ISNUMBER(O65),IF(AND(ISNUMBER($G$5),ABS(O65)&gt;$G$5),"Revisa el descuadre",IF(AND(ISNUMBER(J65),ISNUMBER(E65)),IF(ROUND(J65-E65,2)&lt;&gt;0,"El datáfono no cuadra con la tarjeta",""),"")),IF(AND(ISNUMBER(J65),ISNUMBER(E65)),IF(ROUND(J65-E65,2)&lt;&gt;0,"El datáfono no cuadra con la tarjeta",""),""))</f>
        <v/>
      </c>
      <c r="Q65" s="4" t="n"/>
    </row>
    <row r="66">
      <c r="A66" s="7" t="n"/>
      <c r="B66" t="str">
        <f>IF(ISNUMBER(A66),CHOOSE(WEEKDAY(A66,2),"lunes","martes","miércoles","jueves","viernes","sábado","domingo"),"")</f>
        <v/>
      </c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8" t="str">
        <f>IF(AND(ISNUMBER(A66),COUNT(D66:F66)&gt;0),N(D66)+N(E66)+N(F66),"")</f>
        <v/>
      </c>
      <c r="M66" s="8" t="str">
        <f>IF(AND(ISNUMBER(L66),ISNUMBER($C$5),$C$5&gt;=0),ROUND(L66/(1+$C$5/100),2),"")</f>
        <v/>
      </c>
      <c r="N66" s="8" t="str">
        <f>IF(AND(ISNUMBER(A66),COUNT(C66:D66)&gt;0),N(C66)+N(D66)-N(G66)-N(H66),"")</f>
        <v/>
      </c>
      <c r="O66" s="8" t="str">
        <f>IF(AND(ISNUMBER(N66),ISNUMBER(I66)),ROUND(I66-N66,2),"")</f>
        <v/>
      </c>
      <c r="P66" s="9" t="str">
        <f>IF(ISNUMBER(O66),IF(AND(ISNUMBER($G$5),ABS(O66)&gt;$G$5),"Revisa el descuadre",IF(AND(ISNUMBER(J66),ISNUMBER(E66)),IF(ROUND(J66-E66,2)&lt;&gt;0,"El datáfono no cuadra con la tarjeta",""),"")),IF(AND(ISNUMBER(J66),ISNUMBER(E66)),IF(ROUND(J66-E66,2)&lt;&gt;0,"El datáfono no cuadra con la tarjeta",""),""))</f>
        <v/>
      </c>
      <c r="Q66" s="4" t="n"/>
    </row>
    <row r="67">
      <c r="A67" s="7" t="n"/>
      <c r="B67" t="str">
        <f>IF(ISNUMBER(A67),CHOOSE(WEEKDAY(A67,2),"lunes","martes","miércoles","jueves","viernes","sábado","domingo"),"")</f>
        <v/>
      </c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8" t="str">
        <f>IF(AND(ISNUMBER(A67),COUNT(D67:F67)&gt;0),N(D67)+N(E67)+N(F67),"")</f>
        <v/>
      </c>
      <c r="M67" s="8" t="str">
        <f>IF(AND(ISNUMBER(L67),ISNUMBER($C$5),$C$5&gt;=0),ROUND(L67/(1+$C$5/100),2),"")</f>
        <v/>
      </c>
      <c r="N67" s="8" t="str">
        <f>IF(AND(ISNUMBER(A67),COUNT(C67:D67)&gt;0),N(C67)+N(D67)-N(G67)-N(H67),"")</f>
        <v/>
      </c>
      <c r="O67" s="8" t="str">
        <f>IF(AND(ISNUMBER(N67),ISNUMBER(I67)),ROUND(I67-N67,2),"")</f>
        <v/>
      </c>
      <c r="P67" s="9" t="str">
        <f>IF(ISNUMBER(O67),IF(AND(ISNUMBER($G$5),ABS(O67)&gt;$G$5),"Revisa el descuadre",IF(AND(ISNUMBER(J67),ISNUMBER(E67)),IF(ROUND(J67-E67,2)&lt;&gt;0,"El datáfono no cuadra con la tarjeta",""),"")),IF(AND(ISNUMBER(J67),ISNUMBER(E67)),IF(ROUND(J67-E67,2)&lt;&gt;0,"El datáfono no cuadra con la tarjeta",""),""))</f>
        <v/>
      </c>
      <c r="Q67" s="4" t="n"/>
    </row>
    <row r="68">
      <c r="A68" s="7" t="n"/>
      <c r="B68" t="str">
        <f>IF(ISNUMBER(A68),CHOOSE(WEEKDAY(A68,2),"lunes","martes","miércoles","jueves","viernes","sábado","domingo"),"")</f>
        <v/>
      </c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8" t="str">
        <f>IF(AND(ISNUMBER(A68),COUNT(D68:F68)&gt;0),N(D68)+N(E68)+N(F68),"")</f>
        <v/>
      </c>
      <c r="M68" s="8" t="str">
        <f>IF(AND(ISNUMBER(L68),ISNUMBER($C$5),$C$5&gt;=0),ROUND(L68/(1+$C$5/100),2),"")</f>
        <v/>
      </c>
      <c r="N68" s="8" t="str">
        <f>IF(AND(ISNUMBER(A68),COUNT(C68:D68)&gt;0),N(C68)+N(D68)-N(G68)-N(H68),"")</f>
        <v/>
      </c>
      <c r="O68" s="8" t="str">
        <f>IF(AND(ISNUMBER(N68),ISNUMBER(I68)),ROUND(I68-N68,2),"")</f>
        <v/>
      </c>
      <c r="P68" s="9" t="str">
        <f>IF(ISNUMBER(O68),IF(AND(ISNUMBER($G$5),ABS(O68)&gt;$G$5),"Revisa el descuadre",IF(AND(ISNUMBER(J68),ISNUMBER(E68)),IF(ROUND(J68-E68,2)&lt;&gt;0,"El datáfono no cuadra con la tarjeta",""),"")),IF(AND(ISNUMBER(J68),ISNUMBER(E68)),IF(ROUND(J68-E68,2)&lt;&gt;0,"El datáfono no cuadra con la tarjeta",""),""))</f>
        <v/>
      </c>
      <c r="Q68" s="4" t="n"/>
    </row>
    <row r="69">
      <c r="A69" s="7" t="n"/>
      <c r="B69" t="str">
        <f>IF(ISNUMBER(A69),CHOOSE(WEEKDAY(A69,2),"lunes","martes","miércoles","jueves","viernes","sábado","domingo"),"")</f>
        <v/>
      </c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8" t="str">
        <f>IF(AND(ISNUMBER(A69),COUNT(D69:F69)&gt;0),N(D69)+N(E69)+N(F69),"")</f>
        <v/>
      </c>
      <c r="M69" s="8" t="str">
        <f>IF(AND(ISNUMBER(L69),ISNUMBER($C$5),$C$5&gt;=0),ROUND(L69/(1+$C$5/100),2),"")</f>
        <v/>
      </c>
      <c r="N69" s="8" t="str">
        <f>IF(AND(ISNUMBER(A69),COUNT(C69:D69)&gt;0),N(C69)+N(D69)-N(G69)-N(H69),"")</f>
        <v/>
      </c>
      <c r="O69" s="8" t="str">
        <f>IF(AND(ISNUMBER(N69),ISNUMBER(I69)),ROUND(I69-N69,2),"")</f>
        <v/>
      </c>
      <c r="P69" s="9" t="str">
        <f>IF(ISNUMBER(O69),IF(AND(ISNUMBER($G$5),ABS(O69)&gt;$G$5),"Revisa el descuadre",IF(AND(ISNUMBER(J69),ISNUMBER(E69)),IF(ROUND(J69-E69,2)&lt;&gt;0,"El datáfono no cuadra con la tarjeta",""),"")),IF(AND(ISNUMBER(J69),ISNUMBER(E69)),IF(ROUND(J69-E69,2)&lt;&gt;0,"El datáfono no cuadra con la tarjeta",""),""))</f>
        <v/>
      </c>
      <c r="Q69" s="4" t="n"/>
    </row>
    <row r="70">
      <c r="A70" s="7" t="n"/>
      <c r="B70" t="str">
        <f>IF(ISNUMBER(A70),CHOOSE(WEEKDAY(A70,2),"lunes","martes","miércoles","jueves","viernes","sábado","domingo"),"")</f>
        <v/>
      </c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8" t="str">
        <f>IF(AND(ISNUMBER(A70),COUNT(D70:F70)&gt;0),N(D70)+N(E70)+N(F70),"")</f>
        <v/>
      </c>
      <c r="M70" s="8" t="str">
        <f>IF(AND(ISNUMBER(L70),ISNUMBER($C$5),$C$5&gt;=0),ROUND(L70/(1+$C$5/100),2),"")</f>
        <v/>
      </c>
      <c r="N70" s="8" t="str">
        <f>IF(AND(ISNUMBER(A70),COUNT(C70:D70)&gt;0),N(C70)+N(D70)-N(G70)-N(H70),"")</f>
        <v/>
      </c>
      <c r="O70" s="8" t="str">
        <f>IF(AND(ISNUMBER(N70),ISNUMBER(I70)),ROUND(I70-N70,2),"")</f>
        <v/>
      </c>
      <c r="P70" s="9" t="str">
        <f>IF(ISNUMBER(O70),IF(AND(ISNUMBER($G$5),ABS(O70)&gt;$G$5),"Revisa el descuadre",IF(AND(ISNUMBER(J70),ISNUMBER(E70)),IF(ROUND(J70-E70,2)&lt;&gt;0,"El datáfono no cuadra con la tarjeta",""),"")),IF(AND(ISNUMBER(J70),ISNUMBER(E70)),IF(ROUND(J70-E70,2)&lt;&gt;0,"El datáfono no cuadra con la tarjeta",""),""))</f>
        <v/>
      </c>
      <c r="Q70" s="4" t="n"/>
    </row>
    <row r="71">
      <c r="A71" s="7" t="n"/>
      <c r="B71" t="str">
        <f>IF(ISNUMBER(A71),CHOOSE(WEEKDAY(A71,2),"lunes","martes","miércoles","jueves","viernes","sábado","domingo"),"")</f>
        <v/>
      </c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8" t="str">
        <f>IF(AND(ISNUMBER(A71),COUNT(D71:F71)&gt;0),N(D71)+N(E71)+N(F71),"")</f>
        <v/>
      </c>
      <c r="M71" s="8" t="str">
        <f>IF(AND(ISNUMBER(L71),ISNUMBER($C$5),$C$5&gt;=0),ROUND(L71/(1+$C$5/100),2),"")</f>
        <v/>
      </c>
      <c r="N71" s="8" t="str">
        <f>IF(AND(ISNUMBER(A71),COUNT(C71:D71)&gt;0),N(C71)+N(D71)-N(G71)-N(H71),"")</f>
        <v/>
      </c>
      <c r="O71" s="8" t="str">
        <f>IF(AND(ISNUMBER(N71),ISNUMBER(I71)),ROUND(I71-N71,2),"")</f>
        <v/>
      </c>
      <c r="P71" s="9" t="str">
        <f>IF(ISNUMBER(O71),IF(AND(ISNUMBER($G$5),ABS(O71)&gt;$G$5),"Revisa el descuadre",IF(AND(ISNUMBER(J71),ISNUMBER(E71)),IF(ROUND(J71-E71,2)&lt;&gt;0,"El datáfono no cuadra con la tarjeta",""),"")),IF(AND(ISNUMBER(J71),ISNUMBER(E71)),IF(ROUND(J71-E71,2)&lt;&gt;0,"El datáfono no cuadra con la tarjeta",""),""))</f>
        <v/>
      </c>
      <c r="Q71" s="4" t="n"/>
    </row>
    <row r="72">
      <c r="A72" s="7" t="n"/>
      <c r="B72" t="str">
        <f>IF(ISNUMBER(A72),CHOOSE(WEEKDAY(A72,2),"lunes","martes","miércoles","jueves","viernes","sábado","domingo"),"")</f>
        <v/>
      </c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8" t="str">
        <f>IF(AND(ISNUMBER(A72),COUNT(D72:F72)&gt;0),N(D72)+N(E72)+N(F72),"")</f>
        <v/>
      </c>
      <c r="M72" s="8" t="str">
        <f>IF(AND(ISNUMBER(L72),ISNUMBER($C$5),$C$5&gt;=0),ROUND(L72/(1+$C$5/100),2),"")</f>
        <v/>
      </c>
      <c r="N72" s="8" t="str">
        <f>IF(AND(ISNUMBER(A72),COUNT(C72:D72)&gt;0),N(C72)+N(D72)-N(G72)-N(H72),"")</f>
        <v/>
      </c>
      <c r="O72" s="8" t="str">
        <f>IF(AND(ISNUMBER(N72),ISNUMBER(I72)),ROUND(I72-N72,2),"")</f>
        <v/>
      </c>
      <c r="P72" s="9" t="str">
        <f>IF(ISNUMBER(O72),IF(AND(ISNUMBER($G$5),ABS(O72)&gt;$G$5),"Revisa el descuadre",IF(AND(ISNUMBER(J72),ISNUMBER(E72)),IF(ROUND(J72-E72,2)&lt;&gt;0,"El datáfono no cuadra con la tarjeta",""),"")),IF(AND(ISNUMBER(J72),ISNUMBER(E72)),IF(ROUND(J72-E72,2)&lt;&gt;0,"El datáfono no cuadra con la tarjeta",""),""))</f>
        <v/>
      </c>
      <c r="Q72" s="4" t="n"/>
    </row>
    <row r="73">
      <c r="A73" s="7" t="n"/>
      <c r="B73" t="str">
        <f>IF(ISNUMBER(A73),CHOOSE(WEEKDAY(A73,2),"lunes","martes","miércoles","jueves","viernes","sábado","domingo"),"")</f>
        <v/>
      </c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8" t="str">
        <f>IF(AND(ISNUMBER(A73),COUNT(D73:F73)&gt;0),N(D73)+N(E73)+N(F73),"")</f>
        <v/>
      </c>
      <c r="M73" s="8" t="str">
        <f>IF(AND(ISNUMBER(L73),ISNUMBER($C$5),$C$5&gt;=0),ROUND(L73/(1+$C$5/100),2),"")</f>
        <v/>
      </c>
      <c r="N73" s="8" t="str">
        <f>IF(AND(ISNUMBER(A73),COUNT(C73:D73)&gt;0),N(C73)+N(D73)-N(G73)-N(H73),"")</f>
        <v/>
      </c>
      <c r="O73" s="8" t="str">
        <f>IF(AND(ISNUMBER(N73),ISNUMBER(I73)),ROUND(I73-N73,2),"")</f>
        <v/>
      </c>
      <c r="P73" s="9" t="str">
        <f>IF(ISNUMBER(O73),IF(AND(ISNUMBER($G$5),ABS(O73)&gt;$G$5),"Revisa el descuadre",IF(AND(ISNUMBER(J73),ISNUMBER(E73)),IF(ROUND(J73-E73,2)&lt;&gt;0,"El datáfono no cuadra con la tarjeta",""),"")),IF(AND(ISNUMBER(J73),ISNUMBER(E73)),IF(ROUND(J73-E73,2)&lt;&gt;0,"El datáfono no cuadra con la tarjeta",""),""))</f>
        <v/>
      </c>
      <c r="Q73" s="4" t="n"/>
    </row>
    <row r="74">
      <c r="A74" s="7" t="n"/>
      <c r="B74" t="str">
        <f>IF(ISNUMBER(A74),CHOOSE(WEEKDAY(A74,2),"lunes","martes","miércoles","jueves","viernes","sábado","domingo"),"")</f>
        <v/>
      </c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8" t="str">
        <f>IF(AND(ISNUMBER(A74),COUNT(D74:F74)&gt;0),N(D74)+N(E74)+N(F74),"")</f>
        <v/>
      </c>
      <c r="M74" s="8" t="str">
        <f>IF(AND(ISNUMBER(L74),ISNUMBER($C$5),$C$5&gt;=0),ROUND(L74/(1+$C$5/100),2),"")</f>
        <v/>
      </c>
      <c r="N74" s="8" t="str">
        <f>IF(AND(ISNUMBER(A74),COUNT(C74:D74)&gt;0),N(C74)+N(D74)-N(G74)-N(H74),"")</f>
        <v/>
      </c>
      <c r="O74" s="8" t="str">
        <f>IF(AND(ISNUMBER(N74),ISNUMBER(I74)),ROUND(I74-N74,2),"")</f>
        <v/>
      </c>
      <c r="P74" s="9" t="str">
        <f>IF(ISNUMBER(O74),IF(AND(ISNUMBER($G$5),ABS(O74)&gt;$G$5),"Revisa el descuadre",IF(AND(ISNUMBER(J74),ISNUMBER(E74)),IF(ROUND(J74-E74,2)&lt;&gt;0,"El datáfono no cuadra con la tarjeta",""),"")),IF(AND(ISNUMBER(J74),ISNUMBER(E74)),IF(ROUND(J74-E74,2)&lt;&gt;0,"El datáfono no cuadra con la tarjeta",""),""))</f>
        <v/>
      </c>
      <c r="Q74" s="4" t="n"/>
    </row>
    <row r="75">
      <c r="A75" s="7" t="n"/>
      <c r="B75" t="str">
        <f>IF(ISNUMBER(A75),CHOOSE(WEEKDAY(A75,2),"lunes","martes","miércoles","jueves","viernes","sábado","domingo"),"")</f>
        <v/>
      </c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8" t="str">
        <f>IF(AND(ISNUMBER(A75),COUNT(D75:F75)&gt;0),N(D75)+N(E75)+N(F75),"")</f>
        <v/>
      </c>
      <c r="M75" s="8" t="str">
        <f>IF(AND(ISNUMBER(L75),ISNUMBER($C$5),$C$5&gt;=0),ROUND(L75/(1+$C$5/100),2),"")</f>
        <v/>
      </c>
      <c r="N75" s="8" t="str">
        <f>IF(AND(ISNUMBER(A75),COUNT(C75:D75)&gt;0),N(C75)+N(D75)-N(G75)-N(H75),"")</f>
        <v/>
      </c>
      <c r="O75" s="8" t="str">
        <f>IF(AND(ISNUMBER(N75),ISNUMBER(I75)),ROUND(I75-N75,2),"")</f>
        <v/>
      </c>
      <c r="P75" s="9" t="str">
        <f>IF(ISNUMBER(O75),IF(AND(ISNUMBER($G$5),ABS(O75)&gt;$G$5),"Revisa el descuadre",IF(AND(ISNUMBER(J75),ISNUMBER(E75)),IF(ROUND(J75-E75,2)&lt;&gt;0,"El datáfono no cuadra con la tarjeta",""),"")),IF(AND(ISNUMBER(J75),ISNUMBER(E75)),IF(ROUND(J75-E75,2)&lt;&gt;0,"El datáfono no cuadra con la tarjeta",""),""))</f>
        <v/>
      </c>
      <c r="Q75" s="4" t="n"/>
    </row>
    <row r="76">
      <c r="A76" s="7" t="n"/>
      <c r="B76" t="str">
        <f>IF(ISNUMBER(A76),CHOOSE(WEEKDAY(A76,2),"lunes","martes","miércoles","jueves","viernes","sábado","domingo"),"")</f>
        <v/>
      </c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8" t="str">
        <f>IF(AND(ISNUMBER(A76),COUNT(D76:F76)&gt;0),N(D76)+N(E76)+N(F76),"")</f>
        <v/>
      </c>
      <c r="M76" s="8" t="str">
        <f>IF(AND(ISNUMBER(L76),ISNUMBER($C$5),$C$5&gt;=0),ROUND(L76/(1+$C$5/100),2),"")</f>
        <v/>
      </c>
      <c r="N76" s="8" t="str">
        <f>IF(AND(ISNUMBER(A76),COUNT(C76:D76)&gt;0),N(C76)+N(D76)-N(G76)-N(H76),"")</f>
        <v/>
      </c>
      <c r="O76" s="8" t="str">
        <f>IF(AND(ISNUMBER(N76),ISNUMBER(I76)),ROUND(I76-N76,2),"")</f>
        <v/>
      </c>
      <c r="P76" s="9" t="str">
        <f>IF(ISNUMBER(O76),IF(AND(ISNUMBER($G$5),ABS(O76)&gt;$G$5),"Revisa el descuadre",IF(AND(ISNUMBER(J76),ISNUMBER(E76)),IF(ROUND(J76-E76,2)&lt;&gt;0,"El datáfono no cuadra con la tarjeta",""),"")),IF(AND(ISNUMBER(J76),ISNUMBER(E76)),IF(ROUND(J76-E76,2)&lt;&gt;0,"El datáfono no cuadra con la tarjeta",""),""))</f>
        <v/>
      </c>
      <c r="Q76" s="4" t="n"/>
    </row>
    <row r="77">
      <c r="A77" s="7" t="n"/>
      <c r="B77" t="str">
        <f>IF(ISNUMBER(A77),CHOOSE(WEEKDAY(A77,2),"lunes","martes","miércoles","jueves","viernes","sábado","domingo"),"")</f>
        <v/>
      </c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8" t="str">
        <f>IF(AND(ISNUMBER(A77),COUNT(D77:F77)&gt;0),N(D77)+N(E77)+N(F77),"")</f>
        <v/>
      </c>
      <c r="M77" s="8" t="str">
        <f>IF(AND(ISNUMBER(L77),ISNUMBER($C$5),$C$5&gt;=0),ROUND(L77/(1+$C$5/100),2),"")</f>
        <v/>
      </c>
      <c r="N77" s="8" t="str">
        <f>IF(AND(ISNUMBER(A77),COUNT(C77:D77)&gt;0),N(C77)+N(D77)-N(G77)-N(H77),"")</f>
        <v/>
      </c>
      <c r="O77" s="8" t="str">
        <f>IF(AND(ISNUMBER(N77),ISNUMBER(I77)),ROUND(I77-N77,2),"")</f>
        <v/>
      </c>
      <c r="P77" s="9" t="str">
        <f>IF(ISNUMBER(O77),IF(AND(ISNUMBER($G$5),ABS(O77)&gt;$G$5),"Revisa el descuadre",IF(AND(ISNUMBER(J77),ISNUMBER(E77)),IF(ROUND(J77-E77,2)&lt;&gt;0,"El datáfono no cuadra con la tarjeta",""),"")),IF(AND(ISNUMBER(J77),ISNUMBER(E77)),IF(ROUND(J77-E77,2)&lt;&gt;0,"El datáfono no cuadra con la tarjeta",""),""))</f>
        <v/>
      </c>
      <c r="Q77" s="4" t="n"/>
    </row>
    <row r="78">
      <c r="A78" s="7" t="n"/>
      <c r="B78" t="str">
        <f>IF(ISNUMBER(A78),CHOOSE(WEEKDAY(A78,2),"lunes","martes","miércoles","jueves","viernes","sábado","domingo"),"")</f>
        <v/>
      </c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8" t="str">
        <f>IF(AND(ISNUMBER(A78),COUNT(D78:F78)&gt;0),N(D78)+N(E78)+N(F78),"")</f>
        <v/>
      </c>
      <c r="M78" s="8" t="str">
        <f>IF(AND(ISNUMBER(L78),ISNUMBER($C$5),$C$5&gt;=0),ROUND(L78/(1+$C$5/100),2),"")</f>
        <v/>
      </c>
      <c r="N78" s="8" t="str">
        <f>IF(AND(ISNUMBER(A78),COUNT(C78:D78)&gt;0),N(C78)+N(D78)-N(G78)-N(H78),"")</f>
        <v/>
      </c>
      <c r="O78" s="8" t="str">
        <f>IF(AND(ISNUMBER(N78),ISNUMBER(I78)),ROUND(I78-N78,2),"")</f>
        <v/>
      </c>
      <c r="P78" s="9" t="str">
        <f>IF(ISNUMBER(O78),IF(AND(ISNUMBER($G$5),ABS(O78)&gt;$G$5),"Revisa el descuadre",IF(AND(ISNUMBER(J78),ISNUMBER(E78)),IF(ROUND(J78-E78,2)&lt;&gt;0,"El datáfono no cuadra con la tarjeta",""),"")),IF(AND(ISNUMBER(J78),ISNUMBER(E78)),IF(ROUND(J78-E78,2)&lt;&gt;0,"El datáfono no cuadra con la tarjeta",""),""))</f>
        <v/>
      </c>
      <c r="Q78" s="4" t="n"/>
    </row>
    <row r="79">
      <c r="A79" s="7" t="n"/>
      <c r="B79" t="str">
        <f>IF(ISNUMBER(A79),CHOOSE(WEEKDAY(A79,2),"lunes","martes","miércoles","jueves","viernes","sábado","domingo"),"")</f>
        <v/>
      </c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8" t="str">
        <f>IF(AND(ISNUMBER(A79),COUNT(D79:F79)&gt;0),N(D79)+N(E79)+N(F79),"")</f>
        <v/>
      </c>
      <c r="M79" s="8" t="str">
        <f>IF(AND(ISNUMBER(L79),ISNUMBER($C$5),$C$5&gt;=0),ROUND(L79/(1+$C$5/100),2),"")</f>
        <v/>
      </c>
      <c r="N79" s="8" t="str">
        <f>IF(AND(ISNUMBER(A79),COUNT(C79:D79)&gt;0),N(C79)+N(D79)-N(G79)-N(H79),"")</f>
        <v/>
      </c>
      <c r="O79" s="8" t="str">
        <f>IF(AND(ISNUMBER(N79),ISNUMBER(I79)),ROUND(I79-N79,2),"")</f>
        <v/>
      </c>
      <c r="P79" s="9" t="str">
        <f>IF(ISNUMBER(O79),IF(AND(ISNUMBER($G$5),ABS(O79)&gt;$G$5),"Revisa el descuadre",IF(AND(ISNUMBER(J79),ISNUMBER(E79)),IF(ROUND(J79-E79,2)&lt;&gt;0,"El datáfono no cuadra con la tarjeta",""),"")),IF(AND(ISNUMBER(J79),ISNUMBER(E79)),IF(ROUND(J79-E79,2)&lt;&gt;0,"El datáfono no cuadra con la tarjeta",""),""))</f>
        <v/>
      </c>
      <c r="Q79" s="4" t="n"/>
    </row>
    <row r="80">
      <c r="A80" s="7" t="n"/>
      <c r="B80" t="str">
        <f>IF(ISNUMBER(A80),CHOOSE(WEEKDAY(A80,2),"lunes","martes","miércoles","jueves","viernes","sábado","domingo"),"")</f>
        <v/>
      </c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8" t="str">
        <f>IF(AND(ISNUMBER(A80),COUNT(D80:F80)&gt;0),N(D80)+N(E80)+N(F80),"")</f>
        <v/>
      </c>
      <c r="M80" s="8" t="str">
        <f>IF(AND(ISNUMBER(L80),ISNUMBER($C$5),$C$5&gt;=0),ROUND(L80/(1+$C$5/100),2),"")</f>
        <v/>
      </c>
      <c r="N80" s="8" t="str">
        <f>IF(AND(ISNUMBER(A80),COUNT(C80:D80)&gt;0),N(C80)+N(D80)-N(G80)-N(H80),"")</f>
        <v/>
      </c>
      <c r="O80" s="8" t="str">
        <f>IF(AND(ISNUMBER(N80),ISNUMBER(I80)),ROUND(I80-N80,2),"")</f>
        <v/>
      </c>
      <c r="P80" s="9" t="str">
        <f>IF(ISNUMBER(O80),IF(AND(ISNUMBER($G$5),ABS(O80)&gt;$G$5),"Revisa el descuadre",IF(AND(ISNUMBER(J80),ISNUMBER(E80)),IF(ROUND(J80-E80,2)&lt;&gt;0,"El datáfono no cuadra con la tarjeta",""),"")),IF(AND(ISNUMBER(J80),ISNUMBER(E80)),IF(ROUND(J80-E80,2)&lt;&gt;0,"El datáfono no cuadra con la tarjeta",""),""))</f>
        <v/>
      </c>
      <c r="Q80" s="4" t="n"/>
    </row>
    <row r="81">
      <c r="A81" s="7" t="n"/>
      <c r="B81" t="str">
        <f>IF(ISNUMBER(A81),CHOOSE(WEEKDAY(A81,2),"lunes","martes","miércoles","jueves","viernes","sábado","domingo"),"")</f>
        <v/>
      </c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8" t="str">
        <f>IF(AND(ISNUMBER(A81),COUNT(D81:F81)&gt;0),N(D81)+N(E81)+N(F81),"")</f>
        <v/>
      </c>
      <c r="M81" s="8" t="str">
        <f>IF(AND(ISNUMBER(L81),ISNUMBER($C$5),$C$5&gt;=0),ROUND(L81/(1+$C$5/100),2),"")</f>
        <v/>
      </c>
      <c r="N81" s="8" t="str">
        <f>IF(AND(ISNUMBER(A81),COUNT(C81:D81)&gt;0),N(C81)+N(D81)-N(G81)-N(H81),"")</f>
        <v/>
      </c>
      <c r="O81" s="8" t="str">
        <f>IF(AND(ISNUMBER(N81),ISNUMBER(I81)),ROUND(I81-N81,2),"")</f>
        <v/>
      </c>
      <c r="P81" s="9" t="str">
        <f>IF(ISNUMBER(O81),IF(AND(ISNUMBER($G$5),ABS(O81)&gt;$G$5),"Revisa el descuadre",IF(AND(ISNUMBER(J81),ISNUMBER(E81)),IF(ROUND(J81-E81,2)&lt;&gt;0,"El datáfono no cuadra con la tarjeta",""),"")),IF(AND(ISNUMBER(J81),ISNUMBER(E81)),IF(ROUND(J81-E81,2)&lt;&gt;0,"El datáfono no cuadra con la tarjeta",""),""))</f>
        <v/>
      </c>
      <c r="Q81" s="4" t="n"/>
    </row>
    <row r="82">
      <c r="A82" s="7" t="n"/>
      <c r="B82" t="str">
        <f>IF(ISNUMBER(A82),CHOOSE(WEEKDAY(A82,2),"lunes","martes","miércoles","jueves","viernes","sábado","domingo"),"")</f>
        <v/>
      </c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8" t="str">
        <f>IF(AND(ISNUMBER(A82),COUNT(D82:F82)&gt;0),N(D82)+N(E82)+N(F82),"")</f>
        <v/>
      </c>
      <c r="M82" s="8" t="str">
        <f>IF(AND(ISNUMBER(L82),ISNUMBER($C$5),$C$5&gt;=0),ROUND(L82/(1+$C$5/100),2),"")</f>
        <v/>
      </c>
      <c r="N82" s="8" t="str">
        <f>IF(AND(ISNUMBER(A82),COUNT(C82:D82)&gt;0),N(C82)+N(D82)-N(G82)-N(H82),"")</f>
        <v/>
      </c>
      <c r="O82" s="8" t="str">
        <f>IF(AND(ISNUMBER(N82),ISNUMBER(I82)),ROUND(I82-N82,2),"")</f>
        <v/>
      </c>
      <c r="P82" s="9" t="str">
        <f>IF(ISNUMBER(O82),IF(AND(ISNUMBER($G$5),ABS(O82)&gt;$G$5),"Revisa el descuadre",IF(AND(ISNUMBER(J82),ISNUMBER(E82)),IF(ROUND(J82-E82,2)&lt;&gt;0,"El datáfono no cuadra con la tarjeta",""),"")),IF(AND(ISNUMBER(J82),ISNUMBER(E82)),IF(ROUND(J82-E82,2)&lt;&gt;0,"El datáfono no cuadra con la tarjeta",""),""))</f>
        <v/>
      </c>
      <c r="Q82" s="4" t="n"/>
    </row>
    <row r="83">
      <c r="A83" s="7" t="n"/>
      <c r="B83" t="str">
        <f>IF(ISNUMBER(A83),CHOOSE(WEEKDAY(A83,2),"lunes","martes","miércoles","jueves","viernes","sábado","domingo"),"")</f>
        <v/>
      </c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8" t="str">
        <f>IF(AND(ISNUMBER(A83),COUNT(D83:F83)&gt;0),N(D83)+N(E83)+N(F83),"")</f>
        <v/>
      </c>
      <c r="M83" s="8" t="str">
        <f>IF(AND(ISNUMBER(L83),ISNUMBER($C$5),$C$5&gt;=0),ROUND(L83/(1+$C$5/100),2),"")</f>
        <v/>
      </c>
      <c r="N83" s="8" t="str">
        <f>IF(AND(ISNUMBER(A83),COUNT(C83:D83)&gt;0),N(C83)+N(D83)-N(G83)-N(H83),"")</f>
        <v/>
      </c>
      <c r="O83" s="8" t="str">
        <f>IF(AND(ISNUMBER(N83),ISNUMBER(I83)),ROUND(I83-N83,2),"")</f>
        <v/>
      </c>
      <c r="P83" s="9" t="str">
        <f>IF(ISNUMBER(O83),IF(AND(ISNUMBER($G$5),ABS(O83)&gt;$G$5),"Revisa el descuadre",IF(AND(ISNUMBER(J83),ISNUMBER(E83)),IF(ROUND(J83-E83,2)&lt;&gt;0,"El datáfono no cuadra con la tarjeta",""),"")),IF(AND(ISNUMBER(J83),ISNUMBER(E83)),IF(ROUND(J83-E83,2)&lt;&gt;0,"El datáfono no cuadra con la tarjeta",""),""))</f>
        <v/>
      </c>
      <c r="Q83" s="4" t="n"/>
    </row>
    <row r="84">
      <c r="A84" s="7" t="n"/>
      <c r="B84" t="str">
        <f>IF(ISNUMBER(A84),CHOOSE(WEEKDAY(A84,2),"lunes","martes","miércoles","jueves","viernes","sábado","domingo"),"")</f>
        <v/>
      </c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8" t="str">
        <f>IF(AND(ISNUMBER(A84),COUNT(D84:F84)&gt;0),N(D84)+N(E84)+N(F84),"")</f>
        <v/>
      </c>
      <c r="M84" s="8" t="str">
        <f>IF(AND(ISNUMBER(L84),ISNUMBER($C$5),$C$5&gt;=0),ROUND(L84/(1+$C$5/100),2),"")</f>
        <v/>
      </c>
      <c r="N84" s="8" t="str">
        <f>IF(AND(ISNUMBER(A84),COUNT(C84:D84)&gt;0),N(C84)+N(D84)-N(G84)-N(H84),"")</f>
        <v/>
      </c>
      <c r="O84" s="8" t="str">
        <f>IF(AND(ISNUMBER(N84),ISNUMBER(I84)),ROUND(I84-N84,2),"")</f>
        <v/>
      </c>
      <c r="P84" s="9" t="str">
        <f>IF(ISNUMBER(O84),IF(AND(ISNUMBER($G$5),ABS(O84)&gt;$G$5),"Revisa el descuadre",IF(AND(ISNUMBER(J84),ISNUMBER(E84)),IF(ROUND(J84-E84,2)&lt;&gt;0,"El datáfono no cuadra con la tarjeta",""),"")),IF(AND(ISNUMBER(J84),ISNUMBER(E84)),IF(ROUND(J84-E84,2)&lt;&gt;0,"El datáfono no cuadra con la tarjeta",""),""))</f>
        <v/>
      </c>
      <c r="Q84" s="4" t="n"/>
    </row>
    <row r="85">
      <c r="A85" s="7" t="n"/>
      <c r="B85" t="str">
        <f>IF(ISNUMBER(A85),CHOOSE(WEEKDAY(A85,2),"lunes","martes","miércoles","jueves","viernes","sábado","domingo"),"")</f>
        <v/>
      </c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8" t="str">
        <f>IF(AND(ISNUMBER(A85),COUNT(D85:F85)&gt;0),N(D85)+N(E85)+N(F85),"")</f>
        <v/>
      </c>
      <c r="M85" s="8" t="str">
        <f>IF(AND(ISNUMBER(L85),ISNUMBER($C$5),$C$5&gt;=0),ROUND(L85/(1+$C$5/100),2),"")</f>
        <v/>
      </c>
      <c r="N85" s="8" t="str">
        <f>IF(AND(ISNUMBER(A85),COUNT(C85:D85)&gt;0),N(C85)+N(D85)-N(G85)-N(H85),"")</f>
        <v/>
      </c>
      <c r="O85" s="8" t="str">
        <f>IF(AND(ISNUMBER(N85),ISNUMBER(I85)),ROUND(I85-N85,2),"")</f>
        <v/>
      </c>
      <c r="P85" s="9" t="str">
        <f>IF(ISNUMBER(O85),IF(AND(ISNUMBER($G$5),ABS(O85)&gt;$G$5),"Revisa el descuadre",IF(AND(ISNUMBER(J85),ISNUMBER(E85)),IF(ROUND(J85-E85,2)&lt;&gt;0,"El datáfono no cuadra con la tarjeta",""),"")),IF(AND(ISNUMBER(J85),ISNUMBER(E85)),IF(ROUND(J85-E85,2)&lt;&gt;0,"El datáfono no cuadra con la tarjeta",""),""))</f>
        <v/>
      </c>
      <c r="Q85" s="4" t="n"/>
    </row>
    <row r="86">
      <c r="A86" s="7" t="n"/>
      <c r="B86" t="str">
        <f>IF(ISNUMBER(A86),CHOOSE(WEEKDAY(A86,2),"lunes","martes","miércoles","jueves","viernes","sábado","domingo"),"")</f>
        <v/>
      </c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8" t="str">
        <f>IF(AND(ISNUMBER(A86),COUNT(D86:F86)&gt;0),N(D86)+N(E86)+N(F86),"")</f>
        <v/>
      </c>
      <c r="M86" s="8" t="str">
        <f>IF(AND(ISNUMBER(L86),ISNUMBER($C$5),$C$5&gt;=0),ROUND(L86/(1+$C$5/100),2),"")</f>
        <v/>
      </c>
      <c r="N86" s="8" t="str">
        <f>IF(AND(ISNUMBER(A86),COUNT(C86:D86)&gt;0),N(C86)+N(D86)-N(G86)-N(H86),"")</f>
        <v/>
      </c>
      <c r="O86" s="8" t="str">
        <f>IF(AND(ISNUMBER(N86),ISNUMBER(I86)),ROUND(I86-N86,2),"")</f>
        <v/>
      </c>
      <c r="P86" s="9" t="str">
        <f>IF(ISNUMBER(O86),IF(AND(ISNUMBER($G$5),ABS(O86)&gt;$G$5),"Revisa el descuadre",IF(AND(ISNUMBER(J86),ISNUMBER(E86)),IF(ROUND(J86-E86,2)&lt;&gt;0,"El datáfono no cuadra con la tarjeta",""),"")),IF(AND(ISNUMBER(J86),ISNUMBER(E86)),IF(ROUND(J86-E86,2)&lt;&gt;0,"El datáfono no cuadra con la tarjeta",""),""))</f>
        <v/>
      </c>
      <c r="Q86" s="4" t="n"/>
    </row>
    <row r="87">
      <c r="A87" s="7" t="n"/>
      <c r="B87" t="str">
        <f>IF(ISNUMBER(A87),CHOOSE(WEEKDAY(A87,2),"lunes","martes","miércoles","jueves","viernes","sábado","domingo"),"")</f>
        <v/>
      </c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8" t="str">
        <f>IF(AND(ISNUMBER(A87),COUNT(D87:F87)&gt;0),N(D87)+N(E87)+N(F87),"")</f>
        <v/>
      </c>
      <c r="M87" s="8" t="str">
        <f>IF(AND(ISNUMBER(L87),ISNUMBER($C$5),$C$5&gt;=0),ROUND(L87/(1+$C$5/100),2),"")</f>
        <v/>
      </c>
      <c r="N87" s="8" t="str">
        <f>IF(AND(ISNUMBER(A87),COUNT(C87:D87)&gt;0),N(C87)+N(D87)-N(G87)-N(H87),"")</f>
        <v/>
      </c>
      <c r="O87" s="8" t="str">
        <f>IF(AND(ISNUMBER(N87),ISNUMBER(I87)),ROUND(I87-N87,2),"")</f>
        <v/>
      </c>
      <c r="P87" s="9" t="str">
        <f>IF(ISNUMBER(O87),IF(AND(ISNUMBER($G$5),ABS(O87)&gt;$G$5),"Revisa el descuadre",IF(AND(ISNUMBER(J87),ISNUMBER(E87)),IF(ROUND(J87-E87,2)&lt;&gt;0,"El datáfono no cuadra con la tarjeta",""),"")),IF(AND(ISNUMBER(J87),ISNUMBER(E87)),IF(ROUND(J87-E87,2)&lt;&gt;0,"El datáfono no cuadra con la tarjeta",""),""))</f>
        <v/>
      </c>
      <c r="Q87" s="4" t="n"/>
    </row>
    <row r="88">
      <c r="A88" s="7" t="n"/>
      <c r="B88" t="str">
        <f>IF(ISNUMBER(A88),CHOOSE(WEEKDAY(A88,2),"lunes","martes","miércoles","jueves","viernes","sábado","domingo"),"")</f>
        <v/>
      </c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8" t="str">
        <f>IF(AND(ISNUMBER(A88),COUNT(D88:F88)&gt;0),N(D88)+N(E88)+N(F88),"")</f>
        <v/>
      </c>
      <c r="M88" s="8" t="str">
        <f>IF(AND(ISNUMBER(L88),ISNUMBER($C$5),$C$5&gt;=0),ROUND(L88/(1+$C$5/100),2),"")</f>
        <v/>
      </c>
      <c r="N88" s="8" t="str">
        <f>IF(AND(ISNUMBER(A88),COUNT(C88:D88)&gt;0),N(C88)+N(D88)-N(G88)-N(H88),"")</f>
        <v/>
      </c>
      <c r="O88" s="8" t="str">
        <f>IF(AND(ISNUMBER(N88),ISNUMBER(I88)),ROUND(I88-N88,2),"")</f>
        <v/>
      </c>
      <c r="P88" s="9" t="str">
        <f>IF(ISNUMBER(O88),IF(AND(ISNUMBER($G$5),ABS(O88)&gt;$G$5),"Revisa el descuadre",IF(AND(ISNUMBER(J88),ISNUMBER(E88)),IF(ROUND(J88-E88,2)&lt;&gt;0,"El datáfono no cuadra con la tarjeta",""),"")),IF(AND(ISNUMBER(J88),ISNUMBER(E88)),IF(ROUND(J88-E88,2)&lt;&gt;0,"El datáfono no cuadra con la tarjeta",""),""))</f>
        <v/>
      </c>
      <c r="Q88" s="4" t="n"/>
    </row>
    <row r="89">
      <c r="A89" s="7" t="n"/>
      <c r="B89" t="str">
        <f>IF(ISNUMBER(A89),CHOOSE(WEEKDAY(A89,2),"lunes","martes","miércoles","jueves","viernes","sábado","domingo"),"")</f>
        <v/>
      </c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8" t="str">
        <f>IF(AND(ISNUMBER(A89),COUNT(D89:F89)&gt;0),N(D89)+N(E89)+N(F89),"")</f>
        <v/>
      </c>
      <c r="M89" s="8" t="str">
        <f>IF(AND(ISNUMBER(L89),ISNUMBER($C$5),$C$5&gt;=0),ROUND(L89/(1+$C$5/100),2),"")</f>
        <v/>
      </c>
      <c r="N89" s="8" t="str">
        <f>IF(AND(ISNUMBER(A89),COUNT(C89:D89)&gt;0),N(C89)+N(D89)-N(G89)-N(H89),"")</f>
        <v/>
      </c>
      <c r="O89" s="8" t="str">
        <f>IF(AND(ISNUMBER(N89),ISNUMBER(I89)),ROUND(I89-N89,2),"")</f>
        <v/>
      </c>
      <c r="P89" s="9" t="str">
        <f>IF(ISNUMBER(O89),IF(AND(ISNUMBER($G$5),ABS(O89)&gt;$G$5),"Revisa el descuadre",IF(AND(ISNUMBER(J89),ISNUMBER(E89)),IF(ROUND(J89-E89,2)&lt;&gt;0,"El datáfono no cuadra con la tarjeta",""),"")),IF(AND(ISNUMBER(J89),ISNUMBER(E89)),IF(ROUND(J89-E89,2)&lt;&gt;0,"El datáfono no cuadra con la tarjeta",""),""))</f>
        <v/>
      </c>
      <c r="Q89" s="4" t="n"/>
    </row>
    <row r="90">
      <c r="A90" s="7" t="n"/>
      <c r="B90" t="str">
        <f>IF(ISNUMBER(A90),CHOOSE(WEEKDAY(A90,2),"lunes","martes","miércoles","jueves","viernes","sábado","domingo"),"")</f>
        <v/>
      </c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8" t="str">
        <f>IF(AND(ISNUMBER(A90),COUNT(D90:F90)&gt;0),N(D90)+N(E90)+N(F90),"")</f>
        <v/>
      </c>
      <c r="M90" s="8" t="str">
        <f>IF(AND(ISNUMBER(L90),ISNUMBER($C$5),$C$5&gt;=0),ROUND(L90/(1+$C$5/100),2),"")</f>
        <v/>
      </c>
      <c r="N90" s="8" t="str">
        <f>IF(AND(ISNUMBER(A90),COUNT(C90:D90)&gt;0),N(C90)+N(D90)-N(G90)-N(H90),"")</f>
        <v/>
      </c>
      <c r="O90" s="8" t="str">
        <f>IF(AND(ISNUMBER(N90),ISNUMBER(I90)),ROUND(I90-N90,2),"")</f>
        <v/>
      </c>
      <c r="P90" s="9" t="str">
        <f>IF(ISNUMBER(O90),IF(AND(ISNUMBER($G$5),ABS(O90)&gt;$G$5),"Revisa el descuadre",IF(AND(ISNUMBER(J90),ISNUMBER(E90)),IF(ROUND(J90-E90,2)&lt;&gt;0,"El datáfono no cuadra con la tarjeta",""),"")),IF(AND(ISNUMBER(J90),ISNUMBER(E90)),IF(ROUND(J90-E90,2)&lt;&gt;0,"El datáfono no cuadra con la tarjeta",""),""))</f>
        <v/>
      </c>
      <c r="Q90" s="4" t="n"/>
    </row>
    <row r="91">
      <c r="A91" s="7" t="n"/>
      <c r="B91" t="str">
        <f>IF(ISNUMBER(A91),CHOOSE(WEEKDAY(A91,2),"lunes","martes","miércoles","jueves","viernes","sábado","domingo"),"")</f>
        <v/>
      </c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8" t="str">
        <f>IF(AND(ISNUMBER(A91),COUNT(D91:F91)&gt;0),N(D91)+N(E91)+N(F91),"")</f>
        <v/>
      </c>
      <c r="M91" s="8" t="str">
        <f>IF(AND(ISNUMBER(L91),ISNUMBER($C$5),$C$5&gt;=0),ROUND(L91/(1+$C$5/100),2),"")</f>
        <v/>
      </c>
      <c r="N91" s="8" t="str">
        <f>IF(AND(ISNUMBER(A91),COUNT(C91:D91)&gt;0),N(C91)+N(D91)-N(G91)-N(H91),"")</f>
        <v/>
      </c>
      <c r="O91" s="8" t="str">
        <f>IF(AND(ISNUMBER(N91),ISNUMBER(I91)),ROUND(I91-N91,2),"")</f>
        <v/>
      </c>
      <c r="P91" s="9" t="str">
        <f>IF(ISNUMBER(O91),IF(AND(ISNUMBER($G$5),ABS(O91)&gt;$G$5),"Revisa el descuadre",IF(AND(ISNUMBER(J91),ISNUMBER(E91)),IF(ROUND(J91-E91,2)&lt;&gt;0,"El datáfono no cuadra con la tarjeta",""),"")),IF(AND(ISNUMBER(J91),ISNUMBER(E91)),IF(ROUND(J91-E91,2)&lt;&gt;0,"El datáfono no cuadra con la tarjeta",""),""))</f>
        <v/>
      </c>
      <c r="Q91" s="4" t="n"/>
    </row>
    <row r="92">
      <c r="A92" s="7" t="n"/>
      <c r="B92" t="str">
        <f>IF(ISNUMBER(A92),CHOOSE(WEEKDAY(A92,2),"lunes","martes","miércoles","jueves","viernes","sábado","domingo"),"")</f>
        <v/>
      </c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8" t="str">
        <f>IF(AND(ISNUMBER(A92),COUNT(D92:F92)&gt;0),N(D92)+N(E92)+N(F92),"")</f>
        <v/>
      </c>
      <c r="M92" s="8" t="str">
        <f>IF(AND(ISNUMBER(L92),ISNUMBER($C$5),$C$5&gt;=0),ROUND(L92/(1+$C$5/100),2),"")</f>
        <v/>
      </c>
      <c r="N92" s="8" t="str">
        <f>IF(AND(ISNUMBER(A92),COUNT(C92:D92)&gt;0),N(C92)+N(D92)-N(G92)-N(H92),"")</f>
        <v/>
      </c>
      <c r="O92" s="8" t="str">
        <f>IF(AND(ISNUMBER(N92),ISNUMBER(I92)),ROUND(I92-N92,2),"")</f>
        <v/>
      </c>
      <c r="P92" s="9" t="str">
        <f>IF(ISNUMBER(O92),IF(AND(ISNUMBER($G$5),ABS(O92)&gt;$G$5),"Revisa el descuadre",IF(AND(ISNUMBER(J92),ISNUMBER(E92)),IF(ROUND(J92-E92,2)&lt;&gt;0,"El datáfono no cuadra con la tarjeta",""),"")),IF(AND(ISNUMBER(J92),ISNUMBER(E92)),IF(ROUND(J92-E92,2)&lt;&gt;0,"El datáfono no cuadra con la tarjeta",""),""))</f>
        <v/>
      </c>
      <c r="Q92" s="4" t="n"/>
    </row>
    <row r="93">
      <c r="A93" s="7" t="n"/>
      <c r="B93" t="str">
        <f>IF(ISNUMBER(A93),CHOOSE(WEEKDAY(A93,2),"lunes","martes","miércoles","jueves","viernes","sábado","domingo"),"")</f>
        <v/>
      </c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8" t="str">
        <f>IF(AND(ISNUMBER(A93),COUNT(D93:F93)&gt;0),N(D93)+N(E93)+N(F93),"")</f>
        <v/>
      </c>
      <c r="M93" s="8" t="str">
        <f>IF(AND(ISNUMBER(L93),ISNUMBER($C$5),$C$5&gt;=0),ROUND(L93/(1+$C$5/100),2),"")</f>
        <v/>
      </c>
      <c r="N93" s="8" t="str">
        <f>IF(AND(ISNUMBER(A93),COUNT(C93:D93)&gt;0),N(C93)+N(D93)-N(G93)-N(H93),"")</f>
        <v/>
      </c>
      <c r="O93" s="8" t="str">
        <f>IF(AND(ISNUMBER(N93),ISNUMBER(I93)),ROUND(I93-N93,2),"")</f>
        <v/>
      </c>
      <c r="P93" s="9" t="str">
        <f>IF(ISNUMBER(O93),IF(AND(ISNUMBER($G$5),ABS(O93)&gt;$G$5),"Revisa el descuadre",IF(AND(ISNUMBER(J93),ISNUMBER(E93)),IF(ROUND(J93-E93,2)&lt;&gt;0,"El datáfono no cuadra con la tarjeta",""),"")),IF(AND(ISNUMBER(J93),ISNUMBER(E93)),IF(ROUND(J93-E93,2)&lt;&gt;0,"El datáfono no cuadra con la tarjeta",""),""))</f>
        <v/>
      </c>
      <c r="Q93" s="4" t="n"/>
    </row>
    <row r="94">
      <c r="A94" s="7" t="n"/>
      <c r="B94" t="str">
        <f>IF(ISNUMBER(A94),CHOOSE(WEEKDAY(A94,2),"lunes","martes","miércoles","jueves","viernes","sábado","domingo"),"")</f>
        <v/>
      </c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8" t="str">
        <f>IF(AND(ISNUMBER(A94),COUNT(D94:F94)&gt;0),N(D94)+N(E94)+N(F94),"")</f>
        <v/>
      </c>
      <c r="M94" s="8" t="str">
        <f>IF(AND(ISNUMBER(L94),ISNUMBER($C$5),$C$5&gt;=0),ROUND(L94/(1+$C$5/100),2),"")</f>
        <v/>
      </c>
      <c r="N94" s="8" t="str">
        <f>IF(AND(ISNUMBER(A94),COUNT(C94:D94)&gt;0),N(C94)+N(D94)-N(G94)-N(H94),"")</f>
        <v/>
      </c>
      <c r="O94" s="8" t="str">
        <f>IF(AND(ISNUMBER(N94),ISNUMBER(I94)),ROUND(I94-N94,2),"")</f>
        <v/>
      </c>
      <c r="P94" s="9" t="str">
        <f>IF(ISNUMBER(O94),IF(AND(ISNUMBER($G$5),ABS(O94)&gt;$G$5),"Revisa el descuadre",IF(AND(ISNUMBER(J94),ISNUMBER(E94)),IF(ROUND(J94-E94,2)&lt;&gt;0,"El datáfono no cuadra con la tarjeta",""),"")),IF(AND(ISNUMBER(J94),ISNUMBER(E94)),IF(ROUND(J94-E94,2)&lt;&gt;0,"El datáfono no cuadra con la tarjeta",""),""))</f>
        <v/>
      </c>
      <c r="Q94" s="4" t="n"/>
    </row>
    <row r="95">
      <c r="A95" s="7" t="n"/>
      <c r="B95" t="str">
        <f>IF(ISNUMBER(A95),CHOOSE(WEEKDAY(A95,2),"lunes","martes","miércoles","jueves","viernes","sábado","domingo"),"")</f>
        <v/>
      </c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8" t="str">
        <f>IF(AND(ISNUMBER(A95),COUNT(D95:F95)&gt;0),N(D95)+N(E95)+N(F95),"")</f>
        <v/>
      </c>
      <c r="M95" s="8" t="str">
        <f>IF(AND(ISNUMBER(L95),ISNUMBER($C$5),$C$5&gt;=0),ROUND(L95/(1+$C$5/100),2),"")</f>
        <v/>
      </c>
      <c r="N95" s="8" t="str">
        <f>IF(AND(ISNUMBER(A95),COUNT(C95:D95)&gt;0),N(C95)+N(D95)-N(G95)-N(H95),"")</f>
        <v/>
      </c>
      <c r="O95" s="8" t="str">
        <f>IF(AND(ISNUMBER(N95),ISNUMBER(I95)),ROUND(I95-N95,2),"")</f>
        <v/>
      </c>
      <c r="P95" s="9" t="str">
        <f>IF(ISNUMBER(O95),IF(AND(ISNUMBER($G$5),ABS(O95)&gt;$G$5),"Revisa el descuadre",IF(AND(ISNUMBER(J95),ISNUMBER(E95)),IF(ROUND(J95-E95,2)&lt;&gt;0,"El datáfono no cuadra con la tarjeta",""),"")),IF(AND(ISNUMBER(J95),ISNUMBER(E95)),IF(ROUND(J95-E95,2)&lt;&gt;0,"El datáfono no cuadra con la tarjeta",""),""))</f>
        <v/>
      </c>
      <c r="Q95" s="4" t="n"/>
    </row>
    <row r="96">
      <c r="A96" s="7" t="n"/>
      <c r="B96" t="str">
        <f>IF(ISNUMBER(A96),CHOOSE(WEEKDAY(A96,2),"lunes","martes","miércoles","jueves","viernes","sábado","domingo"),"")</f>
        <v/>
      </c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8" t="str">
        <f>IF(AND(ISNUMBER(A96),COUNT(D96:F96)&gt;0),N(D96)+N(E96)+N(F96),"")</f>
        <v/>
      </c>
      <c r="M96" s="8" t="str">
        <f>IF(AND(ISNUMBER(L96),ISNUMBER($C$5),$C$5&gt;=0),ROUND(L96/(1+$C$5/100),2),"")</f>
        <v/>
      </c>
      <c r="N96" s="8" t="str">
        <f>IF(AND(ISNUMBER(A96),COUNT(C96:D96)&gt;0),N(C96)+N(D96)-N(G96)-N(H96),"")</f>
        <v/>
      </c>
      <c r="O96" s="8" t="str">
        <f>IF(AND(ISNUMBER(N96),ISNUMBER(I96)),ROUND(I96-N96,2),"")</f>
        <v/>
      </c>
      <c r="P96" s="9" t="str">
        <f>IF(ISNUMBER(O96),IF(AND(ISNUMBER($G$5),ABS(O96)&gt;$G$5),"Revisa el descuadre",IF(AND(ISNUMBER(J96),ISNUMBER(E96)),IF(ROUND(J96-E96,2)&lt;&gt;0,"El datáfono no cuadra con la tarjeta",""),"")),IF(AND(ISNUMBER(J96),ISNUMBER(E96)),IF(ROUND(J96-E96,2)&lt;&gt;0,"El datáfono no cuadra con la tarjeta",""),""))</f>
        <v/>
      </c>
      <c r="Q96" s="4" t="n"/>
    </row>
    <row r="97">
      <c r="A97" s="7" t="n"/>
      <c r="B97" t="str">
        <f>IF(ISNUMBER(A97),CHOOSE(WEEKDAY(A97,2),"lunes","martes","miércoles","jueves","viernes","sábado","domingo"),"")</f>
        <v/>
      </c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8" t="str">
        <f>IF(AND(ISNUMBER(A97),COUNT(D97:F97)&gt;0),N(D97)+N(E97)+N(F97),"")</f>
        <v/>
      </c>
      <c r="M97" s="8" t="str">
        <f>IF(AND(ISNUMBER(L97),ISNUMBER($C$5),$C$5&gt;=0),ROUND(L97/(1+$C$5/100),2),"")</f>
        <v/>
      </c>
      <c r="N97" s="8" t="str">
        <f>IF(AND(ISNUMBER(A97),COUNT(C97:D97)&gt;0),N(C97)+N(D97)-N(G97)-N(H97),"")</f>
        <v/>
      </c>
      <c r="O97" s="8" t="str">
        <f>IF(AND(ISNUMBER(N97),ISNUMBER(I97)),ROUND(I97-N97,2),"")</f>
        <v/>
      </c>
      <c r="P97" s="9" t="str">
        <f>IF(ISNUMBER(O97),IF(AND(ISNUMBER($G$5),ABS(O97)&gt;$G$5),"Revisa el descuadre",IF(AND(ISNUMBER(J97),ISNUMBER(E97)),IF(ROUND(J97-E97,2)&lt;&gt;0,"El datáfono no cuadra con la tarjeta",""),"")),IF(AND(ISNUMBER(J97),ISNUMBER(E97)),IF(ROUND(J97-E97,2)&lt;&gt;0,"El datáfono no cuadra con la tarjeta",""),""))</f>
        <v/>
      </c>
      <c r="Q97" s="4" t="n"/>
    </row>
    <row r="98">
      <c r="A98" s="7" t="n"/>
      <c r="B98" t="str">
        <f>IF(ISNUMBER(A98),CHOOSE(WEEKDAY(A98,2),"lunes","martes","miércoles","jueves","viernes","sábado","domingo"),"")</f>
        <v/>
      </c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8" t="str">
        <f>IF(AND(ISNUMBER(A98),COUNT(D98:F98)&gt;0),N(D98)+N(E98)+N(F98),"")</f>
        <v/>
      </c>
      <c r="M98" s="8" t="str">
        <f>IF(AND(ISNUMBER(L98),ISNUMBER($C$5),$C$5&gt;=0),ROUND(L98/(1+$C$5/100),2),"")</f>
        <v/>
      </c>
      <c r="N98" s="8" t="str">
        <f>IF(AND(ISNUMBER(A98),COUNT(C98:D98)&gt;0),N(C98)+N(D98)-N(G98)-N(H98),"")</f>
        <v/>
      </c>
      <c r="O98" s="8" t="str">
        <f>IF(AND(ISNUMBER(N98),ISNUMBER(I98)),ROUND(I98-N98,2),"")</f>
        <v/>
      </c>
      <c r="P98" s="9" t="str">
        <f>IF(ISNUMBER(O98),IF(AND(ISNUMBER($G$5),ABS(O98)&gt;$G$5),"Revisa el descuadre",IF(AND(ISNUMBER(J98),ISNUMBER(E98)),IF(ROUND(J98-E98,2)&lt;&gt;0,"El datáfono no cuadra con la tarjeta",""),"")),IF(AND(ISNUMBER(J98),ISNUMBER(E98)),IF(ROUND(J98-E98,2)&lt;&gt;0,"El datáfono no cuadra con la tarjeta",""),""))</f>
        <v/>
      </c>
      <c r="Q98" s="4" t="n"/>
    </row>
    <row r="99">
      <c r="A99" s="7" t="n"/>
      <c r="B99" t="str">
        <f>IF(ISNUMBER(A99),CHOOSE(WEEKDAY(A99,2),"lunes","martes","miércoles","jueves","viernes","sábado","domingo"),"")</f>
        <v/>
      </c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8" t="str">
        <f>IF(AND(ISNUMBER(A99),COUNT(D99:F99)&gt;0),N(D99)+N(E99)+N(F99),"")</f>
        <v/>
      </c>
      <c r="M99" s="8" t="str">
        <f>IF(AND(ISNUMBER(L99),ISNUMBER($C$5),$C$5&gt;=0),ROUND(L99/(1+$C$5/100),2),"")</f>
        <v/>
      </c>
      <c r="N99" s="8" t="str">
        <f>IF(AND(ISNUMBER(A99),COUNT(C99:D99)&gt;0),N(C99)+N(D99)-N(G99)-N(H99),"")</f>
        <v/>
      </c>
      <c r="O99" s="8" t="str">
        <f>IF(AND(ISNUMBER(N99),ISNUMBER(I99)),ROUND(I99-N99,2),"")</f>
        <v/>
      </c>
      <c r="P99" s="9" t="str">
        <f>IF(ISNUMBER(O99),IF(AND(ISNUMBER($G$5),ABS(O99)&gt;$G$5),"Revisa el descuadre",IF(AND(ISNUMBER(J99),ISNUMBER(E99)),IF(ROUND(J99-E99,2)&lt;&gt;0,"El datáfono no cuadra con la tarjeta",""),"")),IF(AND(ISNUMBER(J99),ISNUMBER(E99)),IF(ROUND(J99-E99,2)&lt;&gt;0,"El datáfono no cuadra con la tarjeta",""),""))</f>
        <v/>
      </c>
      <c r="Q99" s="4" t="n"/>
    </row>
    <row r="100">
      <c r="A100" s="7" t="n"/>
      <c r="B100" t="str">
        <f>IF(ISNUMBER(A100),CHOOSE(WEEKDAY(A100,2),"lunes","martes","miércoles","jueves","viernes","sábado","domingo"),"")</f>
        <v/>
      </c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8" t="str">
        <f>IF(AND(ISNUMBER(A100),COUNT(D100:F100)&gt;0),N(D100)+N(E100)+N(F100),"")</f>
        <v/>
      </c>
      <c r="M100" s="8" t="str">
        <f>IF(AND(ISNUMBER(L100),ISNUMBER($C$5),$C$5&gt;=0),ROUND(L100/(1+$C$5/100),2),"")</f>
        <v/>
      </c>
      <c r="N100" s="8" t="str">
        <f>IF(AND(ISNUMBER(A100),COUNT(C100:D100)&gt;0),N(C100)+N(D100)-N(G100)-N(H100),"")</f>
        <v/>
      </c>
      <c r="O100" s="8" t="str">
        <f>IF(AND(ISNUMBER(N100),ISNUMBER(I100)),ROUND(I100-N100,2),"")</f>
        <v/>
      </c>
      <c r="P100" s="9" t="str">
        <f>IF(ISNUMBER(O100),IF(AND(ISNUMBER($G$5),ABS(O100)&gt;$G$5),"Revisa el descuadre",IF(AND(ISNUMBER(J100),ISNUMBER(E100)),IF(ROUND(J100-E100,2)&lt;&gt;0,"El datáfono no cuadra con la tarjeta",""),"")),IF(AND(ISNUMBER(J100),ISNUMBER(E100)),IF(ROUND(J100-E100,2)&lt;&gt;0,"El datáfono no cuadra con la tarjeta",""),""))</f>
        <v/>
      </c>
      <c r="Q100" s="4" t="n"/>
    </row>
    <row r="101">
      <c r="A101" s="7" t="n"/>
      <c r="B101" t="str">
        <f>IF(ISNUMBER(A101),CHOOSE(WEEKDAY(A101,2),"lunes","martes","miércoles","jueves","viernes","sábado","domingo"),"")</f>
        <v/>
      </c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8" t="str">
        <f>IF(AND(ISNUMBER(A101),COUNT(D101:F101)&gt;0),N(D101)+N(E101)+N(F101),"")</f>
        <v/>
      </c>
      <c r="M101" s="8" t="str">
        <f>IF(AND(ISNUMBER(L101),ISNUMBER($C$5),$C$5&gt;=0),ROUND(L101/(1+$C$5/100),2),"")</f>
        <v/>
      </c>
      <c r="N101" s="8" t="str">
        <f>IF(AND(ISNUMBER(A101),COUNT(C101:D101)&gt;0),N(C101)+N(D101)-N(G101)-N(H101),"")</f>
        <v/>
      </c>
      <c r="O101" s="8" t="str">
        <f>IF(AND(ISNUMBER(N101),ISNUMBER(I101)),ROUND(I101-N101,2),"")</f>
        <v/>
      </c>
      <c r="P101" s="9" t="str">
        <f>IF(ISNUMBER(O101),IF(AND(ISNUMBER($G$5),ABS(O101)&gt;$G$5),"Revisa el descuadre",IF(AND(ISNUMBER(J101),ISNUMBER(E101)),IF(ROUND(J101-E101,2)&lt;&gt;0,"El datáfono no cuadra con la tarjeta",""),"")),IF(AND(ISNUMBER(J101),ISNUMBER(E101)),IF(ROUND(J101-E101,2)&lt;&gt;0,"El datáfono no cuadra con la tarjeta",""),""))</f>
        <v/>
      </c>
      <c r="Q101" s="4" t="n"/>
    </row>
    <row r="102">
      <c r="A102" s="7" t="n"/>
      <c r="B102" t="str">
        <f>IF(ISNUMBER(A102),CHOOSE(WEEKDAY(A102,2),"lunes","martes","miércoles","jueves","viernes","sábado","domingo"),"")</f>
        <v/>
      </c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8" t="str">
        <f>IF(AND(ISNUMBER(A102),COUNT(D102:F102)&gt;0),N(D102)+N(E102)+N(F102),"")</f>
        <v/>
      </c>
      <c r="M102" s="8" t="str">
        <f>IF(AND(ISNUMBER(L102),ISNUMBER($C$5),$C$5&gt;=0),ROUND(L102/(1+$C$5/100),2),"")</f>
        <v/>
      </c>
      <c r="N102" s="8" t="str">
        <f>IF(AND(ISNUMBER(A102),COUNT(C102:D102)&gt;0),N(C102)+N(D102)-N(G102)-N(H102),"")</f>
        <v/>
      </c>
      <c r="O102" s="8" t="str">
        <f>IF(AND(ISNUMBER(N102),ISNUMBER(I102)),ROUND(I102-N102,2),"")</f>
        <v/>
      </c>
      <c r="P102" s="9" t="str">
        <f>IF(ISNUMBER(O102),IF(AND(ISNUMBER($G$5),ABS(O102)&gt;$G$5),"Revisa el descuadre",IF(AND(ISNUMBER(J102),ISNUMBER(E102)),IF(ROUND(J102-E102,2)&lt;&gt;0,"El datáfono no cuadra con la tarjeta",""),"")),IF(AND(ISNUMBER(J102),ISNUMBER(E102)),IF(ROUND(J102-E102,2)&lt;&gt;0,"El datáfono no cuadra con la tarjeta",""),""))</f>
        <v/>
      </c>
      <c r="Q102" s="4" t="n"/>
    </row>
    <row r="103">
      <c r="A103" s="7" t="n"/>
      <c r="B103" t="str">
        <f>IF(ISNUMBER(A103),CHOOSE(WEEKDAY(A103,2),"lunes","martes","miércoles","jueves","viernes","sábado","domingo"),"")</f>
        <v/>
      </c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8" t="str">
        <f>IF(AND(ISNUMBER(A103),COUNT(D103:F103)&gt;0),N(D103)+N(E103)+N(F103),"")</f>
        <v/>
      </c>
      <c r="M103" s="8" t="str">
        <f>IF(AND(ISNUMBER(L103),ISNUMBER($C$5),$C$5&gt;=0),ROUND(L103/(1+$C$5/100),2),"")</f>
        <v/>
      </c>
      <c r="N103" s="8" t="str">
        <f>IF(AND(ISNUMBER(A103),COUNT(C103:D103)&gt;0),N(C103)+N(D103)-N(G103)-N(H103),"")</f>
        <v/>
      </c>
      <c r="O103" s="8" t="str">
        <f>IF(AND(ISNUMBER(N103),ISNUMBER(I103)),ROUND(I103-N103,2),"")</f>
        <v/>
      </c>
      <c r="P103" s="9" t="str">
        <f>IF(ISNUMBER(O103),IF(AND(ISNUMBER($G$5),ABS(O103)&gt;$G$5),"Revisa el descuadre",IF(AND(ISNUMBER(J103),ISNUMBER(E103)),IF(ROUND(J103-E103,2)&lt;&gt;0,"El datáfono no cuadra con la tarjeta",""),"")),IF(AND(ISNUMBER(J103),ISNUMBER(E103)),IF(ROUND(J103-E103,2)&lt;&gt;0,"El datáfono no cuadra con la tarjeta",""),""))</f>
        <v/>
      </c>
      <c r="Q103" s="4" t="n"/>
    </row>
    <row r="104">
      <c r="A104" s="7" t="n"/>
      <c r="B104" t="str">
        <f>IF(ISNUMBER(A104),CHOOSE(WEEKDAY(A104,2),"lunes","martes","miércoles","jueves","viernes","sábado","domingo"),"")</f>
        <v/>
      </c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8" t="str">
        <f>IF(AND(ISNUMBER(A104),COUNT(D104:F104)&gt;0),N(D104)+N(E104)+N(F104),"")</f>
        <v/>
      </c>
      <c r="M104" s="8" t="str">
        <f>IF(AND(ISNUMBER(L104),ISNUMBER($C$5),$C$5&gt;=0),ROUND(L104/(1+$C$5/100),2),"")</f>
        <v/>
      </c>
      <c r="N104" s="8" t="str">
        <f>IF(AND(ISNUMBER(A104),COUNT(C104:D104)&gt;0),N(C104)+N(D104)-N(G104)-N(H104),"")</f>
        <v/>
      </c>
      <c r="O104" s="8" t="str">
        <f>IF(AND(ISNUMBER(N104),ISNUMBER(I104)),ROUND(I104-N104,2),"")</f>
        <v/>
      </c>
      <c r="P104" s="9" t="str">
        <f>IF(ISNUMBER(O104),IF(AND(ISNUMBER($G$5),ABS(O104)&gt;$G$5),"Revisa el descuadre",IF(AND(ISNUMBER(J104),ISNUMBER(E104)),IF(ROUND(J104-E104,2)&lt;&gt;0,"El datáfono no cuadra con la tarjeta",""),"")),IF(AND(ISNUMBER(J104),ISNUMBER(E104)),IF(ROUND(J104-E104,2)&lt;&gt;0,"El datáfono no cuadra con la tarjeta",""),""))</f>
        <v/>
      </c>
      <c r="Q104" s="4" t="n"/>
    </row>
    <row r="105">
      <c r="A105" s="7" t="n"/>
      <c r="B105" t="str">
        <f>IF(ISNUMBER(A105),CHOOSE(WEEKDAY(A105,2),"lunes","martes","miércoles","jueves","viernes","sábado","domingo"),"")</f>
        <v/>
      </c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8" t="str">
        <f>IF(AND(ISNUMBER(A105),COUNT(D105:F105)&gt;0),N(D105)+N(E105)+N(F105),"")</f>
        <v/>
      </c>
      <c r="M105" s="8" t="str">
        <f>IF(AND(ISNUMBER(L105),ISNUMBER($C$5),$C$5&gt;=0),ROUND(L105/(1+$C$5/100),2),"")</f>
        <v/>
      </c>
      <c r="N105" s="8" t="str">
        <f>IF(AND(ISNUMBER(A105),COUNT(C105:D105)&gt;0),N(C105)+N(D105)-N(G105)-N(H105),"")</f>
        <v/>
      </c>
      <c r="O105" s="8" t="str">
        <f>IF(AND(ISNUMBER(N105),ISNUMBER(I105)),ROUND(I105-N105,2),"")</f>
        <v/>
      </c>
      <c r="P105" s="9" t="str">
        <f>IF(ISNUMBER(O105),IF(AND(ISNUMBER($G$5),ABS(O105)&gt;$G$5),"Revisa el descuadre",IF(AND(ISNUMBER(J105),ISNUMBER(E105)),IF(ROUND(J105-E105,2)&lt;&gt;0,"El datáfono no cuadra con la tarjeta",""),"")),IF(AND(ISNUMBER(J105),ISNUMBER(E105)),IF(ROUND(J105-E105,2)&lt;&gt;0,"El datáfono no cuadra con la tarjeta",""),""))</f>
        <v/>
      </c>
      <c r="Q105" s="4" t="n"/>
    </row>
    <row r="106">
      <c r="A106" s="7" t="n"/>
      <c r="B106" t="str">
        <f>IF(ISNUMBER(A106),CHOOSE(WEEKDAY(A106,2),"lunes","martes","miércoles","jueves","viernes","sábado","domingo"),"")</f>
        <v/>
      </c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8" t="str">
        <f>IF(AND(ISNUMBER(A106),COUNT(D106:F106)&gt;0),N(D106)+N(E106)+N(F106),"")</f>
        <v/>
      </c>
      <c r="M106" s="8" t="str">
        <f>IF(AND(ISNUMBER(L106),ISNUMBER($C$5),$C$5&gt;=0),ROUND(L106/(1+$C$5/100),2),"")</f>
        <v/>
      </c>
      <c r="N106" s="8" t="str">
        <f>IF(AND(ISNUMBER(A106),COUNT(C106:D106)&gt;0),N(C106)+N(D106)-N(G106)-N(H106),"")</f>
        <v/>
      </c>
      <c r="O106" s="8" t="str">
        <f>IF(AND(ISNUMBER(N106),ISNUMBER(I106)),ROUND(I106-N106,2),"")</f>
        <v/>
      </c>
      <c r="P106" s="9" t="str">
        <f>IF(ISNUMBER(O106),IF(AND(ISNUMBER($G$5),ABS(O106)&gt;$G$5),"Revisa el descuadre",IF(AND(ISNUMBER(J106),ISNUMBER(E106)),IF(ROUND(J106-E106,2)&lt;&gt;0,"El datáfono no cuadra con la tarjeta",""),"")),IF(AND(ISNUMBER(J106),ISNUMBER(E106)),IF(ROUND(J106-E106,2)&lt;&gt;0,"El datáfono no cuadra con la tarjeta",""),""))</f>
        <v/>
      </c>
      <c r="Q106" s="4" t="n"/>
    </row>
    <row r="107">
      <c r="A107" s="7" t="n"/>
      <c r="B107" t="str">
        <f>IF(ISNUMBER(A107),CHOOSE(WEEKDAY(A107,2),"lunes","martes","miércoles","jueves","viernes","sábado","domingo"),"")</f>
        <v/>
      </c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8" t="str">
        <f>IF(AND(ISNUMBER(A107),COUNT(D107:F107)&gt;0),N(D107)+N(E107)+N(F107),"")</f>
        <v/>
      </c>
      <c r="M107" s="8" t="str">
        <f>IF(AND(ISNUMBER(L107),ISNUMBER($C$5),$C$5&gt;=0),ROUND(L107/(1+$C$5/100),2),"")</f>
        <v/>
      </c>
      <c r="N107" s="8" t="str">
        <f>IF(AND(ISNUMBER(A107),COUNT(C107:D107)&gt;0),N(C107)+N(D107)-N(G107)-N(H107),"")</f>
        <v/>
      </c>
      <c r="O107" s="8" t="str">
        <f>IF(AND(ISNUMBER(N107),ISNUMBER(I107)),ROUND(I107-N107,2),"")</f>
        <v/>
      </c>
      <c r="P107" s="9" t="str">
        <f>IF(ISNUMBER(O107),IF(AND(ISNUMBER($G$5),ABS(O107)&gt;$G$5),"Revisa el descuadre",IF(AND(ISNUMBER(J107),ISNUMBER(E107)),IF(ROUND(J107-E107,2)&lt;&gt;0,"El datáfono no cuadra con la tarjeta",""),"")),IF(AND(ISNUMBER(J107),ISNUMBER(E107)),IF(ROUND(J107-E107,2)&lt;&gt;0,"El datáfono no cuadra con la tarjeta",""),""))</f>
        <v/>
      </c>
      <c r="Q107" s="4" t="n"/>
    </row>
    <row r="108">
      <c r="A108" s="7" t="n"/>
      <c r="B108" t="str">
        <f>IF(ISNUMBER(A108),CHOOSE(WEEKDAY(A108,2),"lunes","martes","miércoles","jueves","viernes","sábado","domingo"),"")</f>
        <v/>
      </c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8" t="str">
        <f>IF(AND(ISNUMBER(A108),COUNT(D108:F108)&gt;0),N(D108)+N(E108)+N(F108),"")</f>
        <v/>
      </c>
      <c r="M108" s="8" t="str">
        <f>IF(AND(ISNUMBER(L108),ISNUMBER($C$5),$C$5&gt;=0),ROUND(L108/(1+$C$5/100),2),"")</f>
        <v/>
      </c>
      <c r="N108" s="8" t="str">
        <f>IF(AND(ISNUMBER(A108),COUNT(C108:D108)&gt;0),N(C108)+N(D108)-N(G108)-N(H108),"")</f>
        <v/>
      </c>
      <c r="O108" s="8" t="str">
        <f>IF(AND(ISNUMBER(N108),ISNUMBER(I108)),ROUND(I108-N108,2),"")</f>
        <v/>
      </c>
      <c r="P108" s="9" t="str">
        <f>IF(ISNUMBER(O108),IF(AND(ISNUMBER($G$5),ABS(O108)&gt;$G$5),"Revisa el descuadre",IF(AND(ISNUMBER(J108),ISNUMBER(E108)),IF(ROUND(J108-E108,2)&lt;&gt;0,"El datáfono no cuadra con la tarjeta",""),"")),IF(AND(ISNUMBER(J108),ISNUMBER(E108)),IF(ROUND(J108-E108,2)&lt;&gt;0,"El datáfono no cuadra con la tarjeta",""),""))</f>
        <v/>
      </c>
      <c r="Q108" s="4" t="n"/>
    </row>
    <row r="109">
      <c r="A109" s="7" t="n"/>
      <c r="B109" t="str">
        <f>IF(ISNUMBER(A109),CHOOSE(WEEKDAY(A109,2),"lunes","martes","miércoles","jueves","viernes","sábado","domingo"),"")</f>
        <v/>
      </c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8" t="str">
        <f>IF(AND(ISNUMBER(A109),COUNT(D109:F109)&gt;0),N(D109)+N(E109)+N(F109),"")</f>
        <v/>
      </c>
      <c r="M109" s="8" t="str">
        <f>IF(AND(ISNUMBER(L109),ISNUMBER($C$5),$C$5&gt;=0),ROUND(L109/(1+$C$5/100),2),"")</f>
        <v/>
      </c>
      <c r="N109" s="8" t="str">
        <f>IF(AND(ISNUMBER(A109),COUNT(C109:D109)&gt;0),N(C109)+N(D109)-N(G109)-N(H109),"")</f>
        <v/>
      </c>
      <c r="O109" s="8" t="str">
        <f>IF(AND(ISNUMBER(N109),ISNUMBER(I109)),ROUND(I109-N109,2),"")</f>
        <v/>
      </c>
      <c r="P109" s="9" t="str">
        <f>IF(ISNUMBER(O109),IF(AND(ISNUMBER($G$5),ABS(O109)&gt;$G$5),"Revisa el descuadre",IF(AND(ISNUMBER(J109),ISNUMBER(E109)),IF(ROUND(J109-E109,2)&lt;&gt;0,"El datáfono no cuadra con la tarjeta",""),"")),IF(AND(ISNUMBER(J109),ISNUMBER(E109)),IF(ROUND(J109-E109,2)&lt;&gt;0,"El datáfono no cuadra con la tarjeta",""),""))</f>
        <v/>
      </c>
      <c r="Q109" s="4" t="n"/>
    </row>
    <row r="110">
      <c r="A110" s="7" t="n"/>
      <c r="B110" t="str">
        <f>IF(ISNUMBER(A110),CHOOSE(WEEKDAY(A110,2),"lunes","martes","miércoles","jueves","viernes","sábado","domingo"),"")</f>
        <v/>
      </c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8" t="str">
        <f>IF(AND(ISNUMBER(A110),COUNT(D110:F110)&gt;0),N(D110)+N(E110)+N(F110),"")</f>
        <v/>
      </c>
      <c r="M110" s="8" t="str">
        <f>IF(AND(ISNUMBER(L110),ISNUMBER($C$5),$C$5&gt;=0),ROUND(L110/(1+$C$5/100),2),"")</f>
        <v/>
      </c>
      <c r="N110" s="8" t="str">
        <f>IF(AND(ISNUMBER(A110),COUNT(C110:D110)&gt;0),N(C110)+N(D110)-N(G110)-N(H110),"")</f>
        <v/>
      </c>
      <c r="O110" s="8" t="str">
        <f>IF(AND(ISNUMBER(N110),ISNUMBER(I110)),ROUND(I110-N110,2),"")</f>
        <v/>
      </c>
      <c r="P110" s="9" t="str">
        <f>IF(ISNUMBER(O110),IF(AND(ISNUMBER($G$5),ABS(O110)&gt;$G$5),"Revisa el descuadre",IF(AND(ISNUMBER(J110),ISNUMBER(E110)),IF(ROUND(J110-E110,2)&lt;&gt;0,"El datáfono no cuadra con la tarjeta",""),"")),IF(AND(ISNUMBER(J110),ISNUMBER(E110)),IF(ROUND(J110-E110,2)&lt;&gt;0,"El datáfono no cuadra con la tarjeta",""),""))</f>
        <v/>
      </c>
      <c r="Q110" s="4" t="n"/>
    </row>
    <row r="111">
      <c r="A111" s="7" t="n"/>
      <c r="B111" t="str">
        <f>IF(ISNUMBER(A111),CHOOSE(WEEKDAY(A111,2),"lunes","martes","miércoles","jueves","viernes","sábado","domingo"),"")</f>
        <v/>
      </c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8" t="str">
        <f>IF(AND(ISNUMBER(A111),COUNT(D111:F111)&gt;0),N(D111)+N(E111)+N(F111),"")</f>
        <v/>
      </c>
      <c r="M111" s="8" t="str">
        <f>IF(AND(ISNUMBER(L111),ISNUMBER($C$5),$C$5&gt;=0),ROUND(L111/(1+$C$5/100),2),"")</f>
        <v/>
      </c>
      <c r="N111" s="8" t="str">
        <f>IF(AND(ISNUMBER(A111),COUNT(C111:D111)&gt;0),N(C111)+N(D111)-N(G111)-N(H111),"")</f>
        <v/>
      </c>
      <c r="O111" s="8" t="str">
        <f>IF(AND(ISNUMBER(N111),ISNUMBER(I111)),ROUND(I111-N111,2),"")</f>
        <v/>
      </c>
      <c r="P111" s="9" t="str">
        <f>IF(ISNUMBER(O111),IF(AND(ISNUMBER($G$5),ABS(O111)&gt;$G$5),"Revisa el descuadre",IF(AND(ISNUMBER(J111),ISNUMBER(E111)),IF(ROUND(J111-E111,2)&lt;&gt;0,"El datáfono no cuadra con la tarjeta",""),"")),IF(AND(ISNUMBER(J111),ISNUMBER(E111)),IF(ROUND(J111-E111,2)&lt;&gt;0,"El datáfono no cuadra con la tarjeta",""),""))</f>
        <v/>
      </c>
      <c r="Q111" s="4" t="n"/>
    </row>
    <row r="112">
      <c r="A112" s="7" t="n"/>
      <c r="B112" t="str">
        <f>IF(ISNUMBER(A112),CHOOSE(WEEKDAY(A112,2),"lunes","martes","miércoles","jueves","viernes","sábado","domingo"),"")</f>
        <v/>
      </c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8" t="str">
        <f>IF(AND(ISNUMBER(A112),COUNT(D112:F112)&gt;0),N(D112)+N(E112)+N(F112),"")</f>
        <v/>
      </c>
      <c r="M112" s="8" t="str">
        <f>IF(AND(ISNUMBER(L112),ISNUMBER($C$5),$C$5&gt;=0),ROUND(L112/(1+$C$5/100),2),"")</f>
        <v/>
      </c>
      <c r="N112" s="8" t="str">
        <f>IF(AND(ISNUMBER(A112),COUNT(C112:D112)&gt;0),N(C112)+N(D112)-N(G112)-N(H112),"")</f>
        <v/>
      </c>
      <c r="O112" s="8" t="str">
        <f>IF(AND(ISNUMBER(N112),ISNUMBER(I112)),ROUND(I112-N112,2),"")</f>
        <v/>
      </c>
      <c r="P112" s="9" t="str">
        <f>IF(ISNUMBER(O112),IF(AND(ISNUMBER($G$5),ABS(O112)&gt;$G$5),"Revisa el descuadre",IF(AND(ISNUMBER(J112),ISNUMBER(E112)),IF(ROUND(J112-E112,2)&lt;&gt;0,"El datáfono no cuadra con la tarjeta",""),"")),IF(AND(ISNUMBER(J112),ISNUMBER(E112)),IF(ROUND(J112-E112,2)&lt;&gt;0,"El datáfono no cuadra con la tarjeta",""),""))</f>
        <v/>
      </c>
      <c r="Q112" s="4" t="n"/>
    </row>
    <row r="113">
      <c r="A113" s="7" t="n"/>
      <c r="B113" t="str">
        <f>IF(ISNUMBER(A113),CHOOSE(WEEKDAY(A113,2),"lunes","martes","miércoles","jueves","viernes","sábado","domingo"),"")</f>
        <v/>
      </c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8" t="str">
        <f>IF(AND(ISNUMBER(A113),COUNT(D113:F113)&gt;0),N(D113)+N(E113)+N(F113),"")</f>
        <v/>
      </c>
      <c r="M113" s="8" t="str">
        <f>IF(AND(ISNUMBER(L113),ISNUMBER($C$5),$C$5&gt;=0),ROUND(L113/(1+$C$5/100),2),"")</f>
        <v/>
      </c>
      <c r="N113" s="8" t="str">
        <f>IF(AND(ISNUMBER(A113),COUNT(C113:D113)&gt;0),N(C113)+N(D113)-N(G113)-N(H113),"")</f>
        <v/>
      </c>
      <c r="O113" s="8" t="str">
        <f>IF(AND(ISNUMBER(N113),ISNUMBER(I113)),ROUND(I113-N113,2),"")</f>
        <v/>
      </c>
      <c r="P113" s="9" t="str">
        <f>IF(ISNUMBER(O113),IF(AND(ISNUMBER($G$5),ABS(O113)&gt;$G$5),"Revisa el descuadre",IF(AND(ISNUMBER(J113),ISNUMBER(E113)),IF(ROUND(J113-E113,2)&lt;&gt;0,"El datáfono no cuadra con la tarjeta",""),"")),IF(AND(ISNUMBER(J113),ISNUMBER(E113)),IF(ROUND(J113-E113,2)&lt;&gt;0,"El datáfono no cuadra con la tarjeta",""),""))</f>
        <v/>
      </c>
      <c r="Q113" s="4" t="n"/>
    </row>
    <row r="114">
      <c r="A114" s="7" t="n"/>
      <c r="B114" t="str">
        <f>IF(ISNUMBER(A114),CHOOSE(WEEKDAY(A114,2),"lunes","martes","miércoles","jueves","viernes","sábado","domingo"),"")</f>
        <v/>
      </c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8" t="str">
        <f>IF(AND(ISNUMBER(A114),COUNT(D114:F114)&gt;0),N(D114)+N(E114)+N(F114),"")</f>
        <v/>
      </c>
      <c r="M114" s="8" t="str">
        <f>IF(AND(ISNUMBER(L114),ISNUMBER($C$5),$C$5&gt;=0),ROUND(L114/(1+$C$5/100),2),"")</f>
        <v/>
      </c>
      <c r="N114" s="8" t="str">
        <f>IF(AND(ISNUMBER(A114),COUNT(C114:D114)&gt;0),N(C114)+N(D114)-N(G114)-N(H114),"")</f>
        <v/>
      </c>
      <c r="O114" s="8" t="str">
        <f>IF(AND(ISNUMBER(N114),ISNUMBER(I114)),ROUND(I114-N114,2),"")</f>
        <v/>
      </c>
      <c r="P114" s="9" t="str">
        <f>IF(ISNUMBER(O114),IF(AND(ISNUMBER($G$5),ABS(O114)&gt;$G$5),"Revisa el descuadre",IF(AND(ISNUMBER(J114),ISNUMBER(E114)),IF(ROUND(J114-E114,2)&lt;&gt;0,"El datáfono no cuadra con la tarjeta",""),"")),IF(AND(ISNUMBER(J114),ISNUMBER(E114)),IF(ROUND(J114-E114,2)&lt;&gt;0,"El datáfono no cuadra con la tarjeta",""),""))</f>
        <v/>
      </c>
      <c r="Q114" s="4" t="n"/>
    </row>
    <row r="115">
      <c r="A115" s="7" t="n"/>
      <c r="B115" t="str">
        <f>IF(ISNUMBER(A115),CHOOSE(WEEKDAY(A115,2),"lunes","martes","miércoles","jueves","viernes","sábado","domingo"),"")</f>
        <v/>
      </c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8" t="str">
        <f>IF(AND(ISNUMBER(A115),COUNT(D115:F115)&gt;0),N(D115)+N(E115)+N(F115),"")</f>
        <v/>
      </c>
      <c r="M115" s="8" t="str">
        <f>IF(AND(ISNUMBER(L115),ISNUMBER($C$5),$C$5&gt;=0),ROUND(L115/(1+$C$5/100),2),"")</f>
        <v/>
      </c>
      <c r="N115" s="8" t="str">
        <f>IF(AND(ISNUMBER(A115),COUNT(C115:D115)&gt;0),N(C115)+N(D115)-N(G115)-N(H115),"")</f>
        <v/>
      </c>
      <c r="O115" s="8" t="str">
        <f>IF(AND(ISNUMBER(N115),ISNUMBER(I115)),ROUND(I115-N115,2),"")</f>
        <v/>
      </c>
      <c r="P115" s="9" t="str">
        <f>IF(ISNUMBER(O115),IF(AND(ISNUMBER($G$5),ABS(O115)&gt;$G$5),"Revisa el descuadre",IF(AND(ISNUMBER(J115),ISNUMBER(E115)),IF(ROUND(J115-E115,2)&lt;&gt;0,"El datáfono no cuadra con la tarjeta",""),"")),IF(AND(ISNUMBER(J115),ISNUMBER(E115)),IF(ROUND(J115-E115,2)&lt;&gt;0,"El datáfono no cuadra con la tarjeta",""),""))</f>
        <v/>
      </c>
      <c r="Q115" s="4" t="n"/>
    </row>
    <row r="116">
      <c r="A116" s="7" t="n"/>
      <c r="B116" t="str">
        <f>IF(ISNUMBER(A116),CHOOSE(WEEKDAY(A116,2),"lunes","martes","miércoles","jueves","viernes","sábado","domingo"),"")</f>
        <v/>
      </c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8" t="str">
        <f>IF(AND(ISNUMBER(A116),COUNT(D116:F116)&gt;0),N(D116)+N(E116)+N(F116),"")</f>
        <v/>
      </c>
      <c r="M116" s="8" t="str">
        <f>IF(AND(ISNUMBER(L116),ISNUMBER($C$5),$C$5&gt;=0),ROUND(L116/(1+$C$5/100),2),"")</f>
        <v/>
      </c>
      <c r="N116" s="8" t="str">
        <f>IF(AND(ISNUMBER(A116),COUNT(C116:D116)&gt;0),N(C116)+N(D116)-N(G116)-N(H116),"")</f>
        <v/>
      </c>
      <c r="O116" s="8" t="str">
        <f>IF(AND(ISNUMBER(N116),ISNUMBER(I116)),ROUND(I116-N116,2),"")</f>
        <v/>
      </c>
      <c r="P116" s="9" t="str">
        <f>IF(ISNUMBER(O116),IF(AND(ISNUMBER($G$5),ABS(O116)&gt;$G$5),"Revisa el descuadre",IF(AND(ISNUMBER(J116),ISNUMBER(E116)),IF(ROUND(J116-E116,2)&lt;&gt;0,"El datáfono no cuadra con la tarjeta",""),"")),IF(AND(ISNUMBER(J116),ISNUMBER(E116)),IF(ROUND(J116-E116,2)&lt;&gt;0,"El datáfono no cuadra con la tarjeta",""),""))</f>
        <v/>
      </c>
      <c r="Q116" s="4" t="n"/>
    </row>
    <row r="117">
      <c r="A117" s="7" t="n"/>
      <c r="B117" t="str">
        <f>IF(ISNUMBER(A117),CHOOSE(WEEKDAY(A117,2),"lunes","martes","miércoles","jueves","viernes","sábado","domingo"),"")</f>
        <v/>
      </c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8" t="str">
        <f>IF(AND(ISNUMBER(A117),COUNT(D117:F117)&gt;0),N(D117)+N(E117)+N(F117),"")</f>
        <v/>
      </c>
      <c r="M117" s="8" t="str">
        <f>IF(AND(ISNUMBER(L117),ISNUMBER($C$5),$C$5&gt;=0),ROUND(L117/(1+$C$5/100),2),"")</f>
        <v/>
      </c>
      <c r="N117" s="8" t="str">
        <f>IF(AND(ISNUMBER(A117),COUNT(C117:D117)&gt;0),N(C117)+N(D117)-N(G117)-N(H117),"")</f>
        <v/>
      </c>
      <c r="O117" s="8" t="str">
        <f>IF(AND(ISNUMBER(N117),ISNUMBER(I117)),ROUND(I117-N117,2),"")</f>
        <v/>
      </c>
      <c r="P117" s="9" t="str">
        <f>IF(ISNUMBER(O117),IF(AND(ISNUMBER($G$5),ABS(O117)&gt;$G$5),"Revisa el descuadre",IF(AND(ISNUMBER(J117),ISNUMBER(E117)),IF(ROUND(J117-E117,2)&lt;&gt;0,"El datáfono no cuadra con la tarjeta",""),"")),IF(AND(ISNUMBER(J117),ISNUMBER(E117)),IF(ROUND(J117-E117,2)&lt;&gt;0,"El datáfono no cuadra con la tarjeta",""),""))</f>
        <v/>
      </c>
      <c r="Q117" s="4" t="n"/>
    </row>
    <row r="118">
      <c r="A118" s="7" t="n"/>
      <c r="B118" t="str">
        <f>IF(ISNUMBER(A118),CHOOSE(WEEKDAY(A118,2),"lunes","martes","miércoles","jueves","viernes","sábado","domingo"),"")</f>
        <v/>
      </c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8" t="str">
        <f>IF(AND(ISNUMBER(A118),COUNT(D118:F118)&gt;0),N(D118)+N(E118)+N(F118),"")</f>
        <v/>
      </c>
      <c r="M118" s="8" t="str">
        <f>IF(AND(ISNUMBER(L118),ISNUMBER($C$5),$C$5&gt;=0),ROUND(L118/(1+$C$5/100),2),"")</f>
        <v/>
      </c>
      <c r="N118" s="8" t="str">
        <f>IF(AND(ISNUMBER(A118),COUNT(C118:D118)&gt;0),N(C118)+N(D118)-N(G118)-N(H118),"")</f>
        <v/>
      </c>
      <c r="O118" s="8" t="str">
        <f>IF(AND(ISNUMBER(N118),ISNUMBER(I118)),ROUND(I118-N118,2),"")</f>
        <v/>
      </c>
      <c r="P118" s="9" t="str">
        <f>IF(ISNUMBER(O118),IF(AND(ISNUMBER($G$5),ABS(O118)&gt;$G$5),"Revisa el descuadre",IF(AND(ISNUMBER(J118),ISNUMBER(E118)),IF(ROUND(J118-E118,2)&lt;&gt;0,"El datáfono no cuadra con la tarjeta",""),"")),IF(AND(ISNUMBER(J118),ISNUMBER(E118)),IF(ROUND(J118-E118,2)&lt;&gt;0,"El datáfono no cuadra con la tarjeta",""),""))</f>
        <v/>
      </c>
      <c r="Q118" s="4" t="n"/>
    </row>
    <row r="119">
      <c r="A119" s="7" t="n"/>
      <c r="B119" t="str">
        <f>IF(ISNUMBER(A119),CHOOSE(WEEKDAY(A119,2),"lunes","martes","miércoles","jueves","viernes","sábado","domingo"),"")</f>
        <v/>
      </c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8" t="str">
        <f>IF(AND(ISNUMBER(A119),COUNT(D119:F119)&gt;0),N(D119)+N(E119)+N(F119),"")</f>
        <v/>
      </c>
      <c r="M119" s="8" t="str">
        <f>IF(AND(ISNUMBER(L119),ISNUMBER($C$5),$C$5&gt;=0),ROUND(L119/(1+$C$5/100),2),"")</f>
        <v/>
      </c>
      <c r="N119" s="8" t="str">
        <f>IF(AND(ISNUMBER(A119),COUNT(C119:D119)&gt;0),N(C119)+N(D119)-N(G119)-N(H119),"")</f>
        <v/>
      </c>
      <c r="O119" s="8" t="str">
        <f>IF(AND(ISNUMBER(N119),ISNUMBER(I119)),ROUND(I119-N119,2),"")</f>
        <v/>
      </c>
      <c r="P119" s="9" t="str">
        <f>IF(ISNUMBER(O119),IF(AND(ISNUMBER($G$5),ABS(O119)&gt;$G$5),"Revisa el descuadre",IF(AND(ISNUMBER(J119),ISNUMBER(E119)),IF(ROUND(J119-E119,2)&lt;&gt;0,"El datáfono no cuadra con la tarjeta",""),"")),IF(AND(ISNUMBER(J119),ISNUMBER(E119)),IF(ROUND(J119-E119,2)&lt;&gt;0,"El datáfono no cuadra con la tarjeta",""),""))</f>
        <v/>
      </c>
      <c r="Q119" s="4" t="n"/>
    </row>
    <row r="120">
      <c r="A120" s="7" t="n"/>
      <c r="B120" t="str">
        <f>IF(ISNUMBER(A120),CHOOSE(WEEKDAY(A120,2),"lunes","martes","miércoles","jueves","viernes","sábado","domingo"),"")</f>
        <v/>
      </c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8" t="str">
        <f>IF(AND(ISNUMBER(A120),COUNT(D120:F120)&gt;0),N(D120)+N(E120)+N(F120),"")</f>
        <v/>
      </c>
      <c r="M120" s="8" t="str">
        <f>IF(AND(ISNUMBER(L120),ISNUMBER($C$5),$C$5&gt;=0),ROUND(L120/(1+$C$5/100),2),"")</f>
        <v/>
      </c>
      <c r="N120" s="8" t="str">
        <f>IF(AND(ISNUMBER(A120),COUNT(C120:D120)&gt;0),N(C120)+N(D120)-N(G120)-N(H120),"")</f>
        <v/>
      </c>
      <c r="O120" s="8" t="str">
        <f>IF(AND(ISNUMBER(N120),ISNUMBER(I120)),ROUND(I120-N120,2),"")</f>
        <v/>
      </c>
      <c r="P120" s="9" t="str">
        <f>IF(ISNUMBER(O120),IF(AND(ISNUMBER($G$5),ABS(O120)&gt;$G$5),"Revisa el descuadre",IF(AND(ISNUMBER(J120),ISNUMBER(E120)),IF(ROUND(J120-E120,2)&lt;&gt;0,"El datáfono no cuadra con la tarjeta",""),"")),IF(AND(ISNUMBER(J120),ISNUMBER(E120)),IF(ROUND(J120-E120,2)&lt;&gt;0,"El datáfono no cuadra con la tarjeta",""),""))</f>
        <v/>
      </c>
      <c r="Q120" s="4" t="n"/>
    </row>
    <row r="121">
      <c r="A121" s="7" t="n"/>
      <c r="B121" t="str">
        <f>IF(ISNUMBER(A121),CHOOSE(WEEKDAY(A121,2),"lunes","martes","miércoles","jueves","viernes","sábado","domingo"),"")</f>
        <v/>
      </c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8" t="str">
        <f>IF(AND(ISNUMBER(A121),COUNT(D121:F121)&gt;0),N(D121)+N(E121)+N(F121),"")</f>
        <v/>
      </c>
      <c r="M121" s="8" t="str">
        <f>IF(AND(ISNUMBER(L121),ISNUMBER($C$5),$C$5&gt;=0),ROUND(L121/(1+$C$5/100),2),"")</f>
        <v/>
      </c>
      <c r="N121" s="8" t="str">
        <f>IF(AND(ISNUMBER(A121),COUNT(C121:D121)&gt;0),N(C121)+N(D121)-N(G121)-N(H121),"")</f>
        <v/>
      </c>
      <c r="O121" s="8" t="str">
        <f>IF(AND(ISNUMBER(N121),ISNUMBER(I121)),ROUND(I121-N121,2),"")</f>
        <v/>
      </c>
      <c r="P121" s="9" t="str">
        <f>IF(ISNUMBER(O121),IF(AND(ISNUMBER($G$5),ABS(O121)&gt;$G$5),"Revisa el descuadre",IF(AND(ISNUMBER(J121),ISNUMBER(E121)),IF(ROUND(J121-E121,2)&lt;&gt;0,"El datáfono no cuadra con la tarjeta",""),"")),IF(AND(ISNUMBER(J121),ISNUMBER(E121)),IF(ROUND(J121-E121,2)&lt;&gt;0,"El datáfono no cuadra con la tarjeta",""),""))</f>
        <v/>
      </c>
      <c r="Q121" s="4" t="n"/>
    </row>
    <row r="122">
      <c r="A122" s="7" t="n"/>
      <c r="B122" t="str">
        <f>IF(ISNUMBER(A122),CHOOSE(WEEKDAY(A122,2),"lunes","martes","miércoles","jueves","viernes","sábado","domingo"),"")</f>
        <v/>
      </c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8" t="str">
        <f>IF(AND(ISNUMBER(A122),COUNT(D122:F122)&gt;0),N(D122)+N(E122)+N(F122),"")</f>
        <v/>
      </c>
      <c r="M122" s="8" t="str">
        <f>IF(AND(ISNUMBER(L122),ISNUMBER($C$5),$C$5&gt;=0),ROUND(L122/(1+$C$5/100),2),"")</f>
        <v/>
      </c>
      <c r="N122" s="8" t="str">
        <f>IF(AND(ISNUMBER(A122),COUNT(C122:D122)&gt;0),N(C122)+N(D122)-N(G122)-N(H122),"")</f>
        <v/>
      </c>
      <c r="O122" s="8" t="str">
        <f>IF(AND(ISNUMBER(N122),ISNUMBER(I122)),ROUND(I122-N122,2),"")</f>
        <v/>
      </c>
      <c r="P122" s="9" t="str">
        <f>IF(ISNUMBER(O122),IF(AND(ISNUMBER($G$5),ABS(O122)&gt;$G$5),"Revisa el descuadre",IF(AND(ISNUMBER(J122),ISNUMBER(E122)),IF(ROUND(J122-E122,2)&lt;&gt;0,"El datáfono no cuadra con la tarjeta",""),"")),IF(AND(ISNUMBER(J122),ISNUMBER(E122)),IF(ROUND(J122-E122,2)&lt;&gt;0,"El datáfono no cuadra con la tarjeta",""),""))</f>
        <v/>
      </c>
      <c r="Q122" s="4" t="n"/>
    </row>
    <row r="123">
      <c r="A123" s="7" t="n"/>
      <c r="B123" t="str">
        <f>IF(ISNUMBER(A123),CHOOSE(WEEKDAY(A123,2),"lunes","martes","miércoles","jueves","viernes","sábado","domingo"),"")</f>
        <v/>
      </c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8" t="str">
        <f>IF(AND(ISNUMBER(A123),COUNT(D123:F123)&gt;0),N(D123)+N(E123)+N(F123),"")</f>
        <v/>
      </c>
      <c r="M123" s="8" t="str">
        <f>IF(AND(ISNUMBER(L123),ISNUMBER($C$5),$C$5&gt;=0),ROUND(L123/(1+$C$5/100),2),"")</f>
        <v/>
      </c>
      <c r="N123" s="8" t="str">
        <f>IF(AND(ISNUMBER(A123),COUNT(C123:D123)&gt;0),N(C123)+N(D123)-N(G123)-N(H123),"")</f>
        <v/>
      </c>
      <c r="O123" s="8" t="str">
        <f>IF(AND(ISNUMBER(N123),ISNUMBER(I123)),ROUND(I123-N123,2),"")</f>
        <v/>
      </c>
      <c r="P123" s="9" t="str">
        <f>IF(ISNUMBER(O123),IF(AND(ISNUMBER($G$5),ABS(O123)&gt;$G$5),"Revisa el descuadre",IF(AND(ISNUMBER(J123),ISNUMBER(E123)),IF(ROUND(J123-E123,2)&lt;&gt;0,"El datáfono no cuadra con la tarjeta",""),"")),IF(AND(ISNUMBER(J123),ISNUMBER(E123)),IF(ROUND(J123-E123,2)&lt;&gt;0,"El datáfono no cuadra con la tarjeta",""),""))</f>
        <v/>
      </c>
      <c r="Q123" s="4" t="n"/>
    </row>
    <row r="124">
      <c r="A124" s="7" t="n"/>
      <c r="B124" t="str">
        <f>IF(ISNUMBER(A124),CHOOSE(WEEKDAY(A124,2),"lunes","martes","miércoles","jueves","viernes","sábado","domingo"),"")</f>
        <v/>
      </c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8" t="str">
        <f>IF(AND(ISNUMBER(A124),COUNT(D124:F124)&gt;0),N(D124)+N(E124)+N(F124),"")</f>
        <v/>
      </c>
      <c r="M124" s="8" t="str">
        <f>IF(AND(ISNUMBER(L124),ISNUMBER($C$5),$C$5&gt;=0),ROUND(L124/(1+$C$5/100),2),"")</f>
        <v/>
      </c>
      <c r="N124" s="8" t="str">
        <f>IF(AND(ISNUMBER(A124),COUNT(C124:D124)&gt;0),N(C124)+N(D124)-N(G124)-N(H124),"")</f>
        <v/>
      </c>
      <c r="O124" s="8" t="str">
        <f>IF(AND(ISNUMBER(N124),ISNUMBER(I124)),ROUND(I124-N124,2),"")</f>
        <v/>
      </c>
      <c r="P124" s="9" t="str">
        <f>IF(ISNUMBER(O124),IF(AND(ISNUMBER($G$5),ABS(O124)&gt;$G$5),"Revisa el descuadre",IF(AND(ISNUMBER(J124),ISNUMBER(E124)),IF(ROUND(J124-E124,2)&lt;&gt;0,"El datáfono no cuadra con la tarjeta",""),"")),IF(AND(ISNUMBER(J124),ISNUMBER(E124)),IF(ROUND(J124-E124,2)&lt;&gt;0,"El datáfono no cuadra con la tarjeta",""),""))</f>
        <v/>
      </c>
      <c r="Q124" s="4" t="n"/>
    </row>
    <row r="125">
      <c r="A125" s="7" t="n"/>
      <c r="B125" t="str">
        <f>IF(ISNUMBER(A125),CHOOSE(WEEKDAY(A125,2),"lunes","martes","miércoles","jueves","viernes","sábado","domingo"),"")</f>
        <v/>
      </c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8" t="str">
        <f>IF(AND(ISNUMBER(A125),COUNT(D125:F125)&gt;0),N(D125)+N(E125)+N(F125),"")</f>
        <v/>
      </c>
      <c r="M125" s="8" t="str">
        <f>IF(AND(ISNUMBER(L125),ISNUMBER($C$5),$C$5&gt;=0),ROUND(L125/(1+$C$5/100),2),"")</f>
        <v/>
      </c>
      <c r="N125" s="8" t="str">
        <f>IF(AND(ISNUMBER(A125),COUNT(C125:D125)&gt;0),N(C125)+N(D125)-N(G125)-N(H125),"")</f>
        <v/>
      </c>
      <c r="O125" s="8" t="str">
        <f>IF(AND(ISNUMBER(N125),ISNUMBER(I125)),ROUND(I125-N125,2),"")</f>
        <v/>
      </c>
      <c r="P125" s="9" t="str">
        <f>IF(ISNUMBER(O125),IF(AND(ISNUMBER($G$5),ABS(O125)&gt;$G$5),"Revisa el descuadre",IF(AND(ISNUMBER(J125),ISNUMBER(E125)),IF(ROUND(J125-E125,2)&lt;&gt;0,"El datáfono no cuadra con la tarjeta",""),"")),IF(AND(ISNUMBER(J125),ISNUMBER(E125)),IF(ROUND(J125-E125,2)&lt;&gt;0,"El datáfono no cuadra con la tarjeta",""),""))</f>
        <v/>
      </c>
      <c r="Q125" s="4" t="n"/>
    </row>
    <row r="126">
      <c r="A126" s="7" t="n"/>
      <c r="B126" t="str">
        <f>IF(ISNUMBER(A126),CHOOSE(WEEKDAY(A126,2),"lunes","martes","miércoles","jueves","viernes","sábado","domingo"),"")</f>
        <v/>
      </c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8" t="str">
        <f>IF(AND(ISNUMBER(A126),COUNT(D126:F126)&gt;0),N(D126)+N(E126)+N(F126),"")</f>
        <v/>
      </c>
      <c r="M126" s="8" t="str">
        <f>IF(AND(ISNUMBER(L126),ISNUMBER($C$5),$C$5&gt;=0),ROUND(L126/(1+$C$5/100),2),"")</f>
        <v/>
      </c>
      <c r="N126" s="8" t="str">
        <f>IF(AND(ISNUMBER(A126),COUNT(C126:D126)&gt;0),N(C126)+N(D126)-N(G126)-N(H126),"")</f>
        <v/>
      </c>
      <c r="O126" s="8" t="str">
        <f>IF(AND(ISNUMBER(N126),ISNUMBER(I126)),ROUND(I126-N126,2),"")</f>
        <v/>
      </c>
      <c r="P126" s="9" t="str">
        <f>IF(ISNUMBER(O126),IF(AND(ISNUMBER($G$5),ABS(O126)&gt;$G$5),"Revisa el descuadre",IF(AND(ISNUMBER(J126),ISNUMBER(E126)),IF(ROUND(J126-E126,2)&lt;&gt;0,"El datáfono no cuadra con la tarjeta",""),"")),IF(AND(ISNUMBER(J126),ISNUMBER(E126)),IF(ROUND(J126-E126,2)&lt;&gt;0,"El datáfono no cuadra con la tarjeta",""),""))</f>
        <v/>
      </c>
      <c r="Q126" s="4" t="n"/>
    </row>
    <row r="127">
      <c r="A127" s="7" t="n"/>
      <c r="B127" t="str">
        <f>IF(ISNUMBER(A127),CHOOSE(WEEKDAY(A127,2),"lunes","martes","miércoles","jueves","viernes","sábado","domingo"),"")</f>
        <v/>
      </c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8" t="str">
        <f>IF(AND(ISNUMBER(A127),COUNT(D127:F127)&gt;0),N(D127)+N(E127)+N(F127),"")</f>
        <v/>
      </c>
      <c r="M127" s="8" t="str">
        <f>IF(AND(ISNUMBER(L127),ISNUMBER($C$5),$C$5&gt;=0),ROUND(L127/(1+$C$5/100),2),"")</f>
        <v/>
      </c>
      <c r="N127" s="8" t="str">
        <f>IF(AND(ISNUMBER(A127),COUNT(C127:D127)&gt;0),N(C127)+N(D127)-N(G127)-N(H127),"")</f>
        <v/>
      </c>
      <c r="O127" s="8" t="str">
        <f>IF(AND(ISNUMBER(N127),ISNUMBER(I127)),ROUND(I127-N127,2),"")</f>
        <v/>
      </c>
      <c r="P127" s="9" t="str">
        <f>IF(ISNUMBER(O127),IF(AND(ISNUMBER($G$5),ABS(O127)&gt;$G$5),"Revisa el descuadre",IF(AND(ISNUMBER(J127),ISNUMBER(E127)),IF(ROUND(J127-E127,2)&lt;&gt;0,"El datáfono no cuadra con la tarjeta",""),"")),IF(AND(ISNUMBER(J127),ISNUMBER(E127)),IF(ROUND(J127-E127,2)&lt;&gt;0,"El datáfono no cuadra con la tarjeta",""),""))</f>
        <v/>
      </c>
      <c r="Q127" s="4" t="n"/>
    </row>
    <row r="128">
      <c r="A128" s="7" t="n"/>
      <c r="B128" t="str">
        <f>IF(ISNUMBER(A128),CHOOSE(WEEKDAY(A128,2),"lunes","martes","miércoles","jueves","viernes","sábado","domingo"),"")</f>
        <v/>
      </c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8" t="str">
        <f>IF(AND(ISNUMBER(A128),COUNT(D128:F128)&gt;0),N(D128)+N(E128)+N(F128),"")</f>
        <v/>
      </c>
      <c r="M128" s="8" t="str">
        <f>IF(AND(ISNUMBER(L128),ISNUMBER($C$5),$C$5&gt;=0),ROUND(L128/(1+$C$5/100),2),"")</f>
        <v/>
      </c>
      <c r="N128" s="8" t="str">
        <f>IF(AND(ISNUMBER(A128),COUNT(C128:D128)&gt;0),N(C128)+N(D128)-N(G128)-N(H128),"")</f>
        <v/>
      </c>
      <c r="O128" s="8" t="str">
        <f>IF(AND(ISNUMBER(N128),ISNUMBER(I128)),ROUND(I128-N128,2),"")</f>
        <v/>
      </c>
      <c r="P128" s="9" t="str">
        <f>IF(ISNUMBER(O128),IF(AND(ISNUMBER($G$5),ABS(O128)&gt;$G$5),"Revisa el descuadre",IF(AND(ISNUMBER(J128),ISNUMBER(E128)),IF(ROUND(J128-E128,2)&lt;&gt;0,"El datáfono no cuadra con la tarjeta",""),"")),IF(AND(ISNUMBER(J128),ISNUMBER(E128)),IF(ROUND(J128-E128,2)&lt;&gt;0,"El datáfono no cuadra con la tarjeta",""),""))</f>
        <v/>
      </c>
      <c r="Q128" s="4" t="n"/>
    </row>
    <row r="129">
      <c r="A129" s="7" t="n"/>
      <c r="B129" t="str">
        <f>IF(ISNUMBER(A129),CHOOSE(WEEKDAY(A129,2),"lunes","martes","miércoles","jueves","viernes","sábado","domingo"),"")</f>
        <v/>
      </c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8" t="str">
        <f>IF(AND(ISNUMBER(A129),COUNT(D129:F129)&gt;0),N(D129)+N(E129)+N(F129),"")</f>
        <v/>
      </c>
      <c r="M129" s="8" t="str">
        <f>IF(AND(ISNUMBER(L129),ISNUMBER($C$5),$C$5&gt;=0),ROUND(L129/(1+$C$5/100),2),"")</f>
        <v/>
      </c>
      <c r="N129" s="8" t="str">
        <f>IF(AND(ISNUMBER(A129),COUNT(C129:D129)&gt;0),N(C129)+N(D129)-N(G129)-N(H129),"")</f>
        <v/>
      </c>
      <c r="O129" s="8" t="str">
        <f>IF(AND(ISNUMBER(N129),ISNUMBER(I129)),ROUND(I129-N129,2),"")</f>
        <v/>
      </c>
      <c r="P129" s="9" t="str">
        <f>IF(ISNUMBER(O129),IF(AND(ISNUMBER($G$5),ABS(O129)&gt;$G$5),"Revisa el descuadre",IF(AND(ISNUMBER(J129),ISNUMBER(E129)),IF(ROUND(J129-E129,2)&lt;&gt;0,"El datáfono no cuadra con la tarjeta",""),"")),IF(AND(ISNUMBER(J129),ISNUMBER(E129)),IF(ROUND(J129-E129,2)&lt;&gt;0,"El datáfono no cuadra con la tarjeta",""),""))</f>
        <v/>
      </c>
      <c r="Q129" s="4" t="n"/>
    </row>
    <row r="130">
      <c r="A130" s="7" t="n"/>
      <c r="B130" t="str">
        <f>IF(ISNUMBER(A130),CHOOSE(WEEKDAY(A130,2),"lunes","martes","miércoles","jueves","viernes","sábado","domingo"),"")</f>
        <v/>
      </c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8" t="str">
        <f>IF(AND(ISNUMBER(A130),COUNT(D130:F130)&gt;0),N(D130)+N(E130)+N(F130),"")</f>
        <v/>
      </c>
      <c r="M130" s="8" t="str">
        <f>IF(AND(ISNUMBER(L130),ISNUMBER($C$5),$C$5&gt;=0),ROUND(L130/(1+$C$5/100),2),"")</f>
        <v/>
      </c>
      <c r="N130" s="8" t="str">
        <f>IF(AND(ISNUMBER(A130),COUNT(C130:D130)&gt;0),N(C130)+N(D130)-N(G130)-N(H130),"")</f>
        <v/>
      </c>
      <c r="O130" s="8" t="str">
        <f>IF(AND(ISNUMBER(N130),ISNUMBER(I130)),ROUND(I130-N130,2),"")</f>
        <v/>
      </c>
      <c r="P130" s="9" t="str">
        <f>IF(ISNUMBER(O130),IF(AND(ISNUMBER($G$5),ABS(O130)&gt;$G$5),"Revisa el descuadre",IF(AND(ISNUMBER(J130),ISNUMBER(E130)),IF(ROUND(J130-E130,2)&lt;&gt;0,"El datáfono no cuadra con la tarjeta",""),"")),IF(AND(ISNUMBER(J130),ISNUMBER(E130)),IF(ROUND(J130-E130,2)&lt;&gt;0,"El datáfono no cuadra con la tarjeta",""),""))</f>
        <v/>
      </c>
      <c r="Q130" s="4" t="n"/>
    </row>
    <row r="131">
      <c r="A131" s="7" t="n"/>
      <c r="B131" t="str">
        <f>IF(ISNUMBER(A131),CHOOSE(WEEKDAY(A131,2),"lunes","martes","miércoles","jueves","viernes","sábado","domingo"),"")</f>
        <v/>
      </c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8" t="str">
        <f>IF(AND(ISNUMBER(A131),COUNT(D131:F131)&gt;0),N(D131)+N(E131)+N(F131),"")</f>
        <v/>
      </c>
      <c r="M131" s="8" t="str">
        <f>IF(AND(ISNUMBER(L131),ISNUMBER($C$5),$C$5&gt;=0),ROUND(L131/(1+$C$5/100),2),"")</f>
        <v/>
      </c>
      <c r="N131" s="8" t="str">
        <f>IF(AND(ISNUMBER(A131),COUNT(C131:D131)&gt;0),N(C131)+N(D131)-N(G131)-N(H131),"")</f>
        <v/>
      </c>
      <c r="O131" s="8" t="str">
        <f>IF(AND(ISNUMBER(N131),ISNUMBER(I131)),ROUND(I131-N131,2),"")</f>
        <v/>
      </c>
      <c r="P131" s="9" t="str">
        <f>IF(ISNUMBER(O131),IF(AND(ISNUMBER($G$5),ABS(O131)&gt;$G$5),"Revisa el descuadre",IF(AND(ISNUMBER(J131),ISNUMBER(E131)),IF(ROUND(J131-E131,2)&lt;&gt;0,"El datáfono no cuadra con la tarjeta",""),"")),IF(AND(ISNUMBER(J131),ISNUMBER(E131)),IF(ROUND(J131-E131,2)&lt;&gt;0,"El datáfono no cuadra con la tarjeta",""),""))</f>
        <v/>
      </c>
      <c r="Q131" s="4" t="n"/>
    </row>
    <row r="132">
      <c r="A132" s="7" t="n"/>
      <c r="B132" t="str">
        <f>IF(ISNUMBER(A132),CHOOSE(WEEKDAY(A132,2),"lunes","martes","miércoles","jueves","viernes","sábado","domingo"),"")</f>
        <v/>
      </c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8" t="str">
        <f>IF(AND(ISNUMBER(A132),COUNT(D132:F132)&gt;0),N(D132)+N(E132)+N(F132),"")</f>
        <v/>
      </c>
      <c r="M132" s="8" t="str">
        <f>IF(AND(ISNUMBER(L132),ISNUMBER($C$5),$C$5&gt;=0),ROUND(L132/(1+$C$5/100),2),"")</f>
        <v/>
      </c>
      <c r="N132" s="8" t="str">
        <f>IF(AND(ISNUMBER(A132),COUNT(C132:D132)&gt;0),N(C132)+N(D132)-N(G132)-N(H132),"")</f>
        <v/>
      </c>
      <c r="O132" s="8" t="str">
        <f>IF(AND(ISNUMBER(N132),ISNUMBER(I132)),ROUND(I132-N132,2),"")</f>
        <v/>
      </c>
      <c r="P132" s="9" t="str">
        <f>IF(ISNUMBER(O132),IF(AND(ISNUMBER($G$5),ABS(O132)&gt;$G$5),"Revisa el descuadre",IF(AND(ISNUMBER(J132),ISNUMBER(E132)),IF(ROUND(J132-E132,2)&lt;&gt;0,"El datáfono no cuadra con la tarjeta",""),"")),IF(AND(ISNUMBER(J132),ISNUMBER(E132)),IF(ROUND(J132-E132,2)&lt;&gt;0,"El datáfono no cuadra con la tarjeta",""),""))</f>
        <v/>
      </c>
      <c r="Q132" s="4" t="n"/>
    </row>
    <row r="133">
      <c r="A133" s="7" t="n"/>
      <c r="B133" t="str">
        <f>IF(ISNUMBER(A133),CHOOSE(WEEKDAY(A133,2),"lunes","martes","miércoles","jueves","viernes","sábado","domingo"),"")</f>
        <v/>
      </c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8" t="str">
        <f>IF(AND(ISNUMBER(A133),COUNT(D133:F133)&gt;0),N(D133)+N(E133)+N(F133),"")</f>
        <v/>
      </c>
      <c r="M133" s="8" t="str">
        <f>IF(AND(ISNUMBER(L133),ISNUMBER($C$5),$C$5&gt;=0),ROUND(L133/(1+$C$5/100),2),"")</f>
        <v/>
      </c>
      <c r="N133" s="8" t="str">
        <f>IF(AND(ISNUMBER(A133),COUNT(C133:D133)&gt;0),N(C133)+N(D133)-N(G133)-N(H133),"")</f>
        <v/>
      </c>
      <c r="O133" s="8" t="str">
        <f>IF(AND(ISNUMBER(N133),ISNUMBER(I133)),ROUND(I133-N133,2),"")</f>
        <v/>
      </c>
      <c r="P133" s="9" t="str">
        <f>IF(ISNUMBER(O133),IF(AND(ISNUMBER($G$5),ABS(O133)&gt;$G$5),"Revisa el descuadre",IF(AND(ISNUMBER(J133),ISNUMBER(E133)),IF(ROUND(J133-E133,2)&lt;&gt;0,"El datáfono no cuadra con la tarjeta",""),"")),IF(AND(ISNUMBER(J133),ISNUMBER(E133)),IF(ROUND(J133-E133,2)&lt;&gt;0,"El datáfono no cuadra con la tarjeta",""),""))</f>
        <v/>
      </c>
      <c r="Q133" s="4" t="n"/>
    </row>
    <row r="134">
      <c r="A134" s="7" t="n"/>
      <c r="B134" t="str">
        <f>IF(ISNUMBER(A134),CHOOSE(WEEKDAY(A134,2),"lunes","martes","miércoles","jueves","viernes","sábado","domingo"),"")</f>
        <v/>
      </c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8" t="str">
        <f>IF(AND(ISNUMBER(A134),COUNT(D134:F134)&gt;0),N(D134)+N(E134)+N(F134),"")</f>
        <v/>
      </c>
      <c r="M134" s="8" t="str">
        <f>IF(AND(ISNUMBER(L134),ISNUMBER($C$5),$C$5&gt;=0),ROUND(L134/(1+$C$5/100),2),"")</f>
        <v/>
      </c>
      <c r="N134" s="8" t="str">
        <f>IF(AND(ISNUMBER(A134),COUNT(C134:D134)&gt;0),N(C134)+N(D134)-N(G134)-N(H134),"")</f>
        <v/>
      </c>
      <c r="O134" s="8" t="str">
        <f>IF(AND(ISNUMBER(N134),ISNUMBER(I134)),ROUND(I134-N134,2),"")</f>
        <v/>
      </c>
      <c r="P134" s="9" t="str">
        <f>IF(ISNUMBER(O134),IF(AND(ISNUMBER($G$5),ABS(O134)&gt;$G$5),"Revisa el descuadre",IF(AND(ISNUMBER(J134),ISNUMBER(E134)),IF(ROUND(J134-E134,2)&lt;&gt;0,"El datáfono no cuadra con la tarjeta",""),"")),IF(AND(ISNUMBER(J134),ISNUMBER(E134)),IF(ROUND(J134-E134,2)&lt;&gt;0,"El datáfono no cuadra con la tarjeta",""),""))</f>
        <v/>
      </c>
      <c r="Q134" s="4" t="n"/>
    </row>
    <row r="135">
      <c r="A135" s="7" t="n"/>
      <c r="B135" t="str">
        <f>IF(ISNUMBER(A135),CHOOSE(WEEKDAY(A135,2),"lunes","martes","miércoles","jueves","viernes","sábado","domingo"),"")</f>
        <v/>
      </c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8" t="str">
        <f>IF(AND(ISNUMBER(A135),COUNT(D135:F135)&gt;0),N(D135)+N(E135)+N(F135),"")</f>
        <v/>
      </c>
      <c r="M135" s="8" t="str">
        <f>IF(AND(ISNUMBER(L135),ISNUMBER($C$5),$C$5&gt;=0),ROUND(L135/(1+$C$5/100),2),"")</f>
        <v/>
      </c>
      <c r="N135" s="8" t="str">
        <f>IF(AND(ISNUMBER(A135),COUNT(C135:D135)&gt;0),N(C135)+N(D135)-N(G135)-N(H135),"")</f>
        <v/>
      </c>
      <c r="O135" s="8" t="str">
        <f>IF(AND(ISNUMBER(N135),ISNUMBER(I135)),ROUND(I135-N135,2),"")</f>
        <v/>
      </c>
      <c r="P135" s="9" t="str">
        <f>IF(ISNUMBER(O135),IF(AND(ISNUMBER($G$5),ABS(O135)&gt;$G$5),"Revisa el descuadre",IF(AND(ISNUMBER(J135),ISNUMBER(E135)),IF(ROUND(J135-E135,2)&lt;&gt;0,"El datáfono no cuadra con la tarjeta",""),"")),IF(AND(ISNUMBER(J135),ISNUMBER(E135)),IF(ROUND(J135-E135,2)&lt;&gt;0,"El datáfono no cuadra con la tarjeta",""),""))</f>
        <v/>
      </c>
      <c r="Q135" s="4" t="n"/>
    </row>
    <row r="136">
      <c r="A136" s="7" t="n"/>
      <c r="B136" t="str">
        <f>IF(ISNUMBER(A136),CHOOSE(WEEKDAY(A136,2),"lunes","martes","miércoles","jueves","viernes","sábado","domingo"),"")</f>
        <v/>
      </c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8" t="str">
        <f>IF(AND(ISNUMBER(A136),COUNT(D136:F136)&gt;0),N(D136)+N(E136)+N(F136),"")</f>
        <v/>
      </c>
      <c r="M136" s="8" t="str">
        <f>IF(AND(ISNUMBER(L136),ISNUMBER($C$5),$C$5&gt;=0),ROUND(L136/(1+$C$5/100),2),"")</f>
        <v/>
      </c>
      <c r="N136" s="8" t="str">
        <f>IF(AND(ISNUMBER(A136),COUNT(C136:D136)&gt;0),N(C136)+N(D136)-N(G136)-N(H136),"")</f>
        <v/>
      </c>
      <c r="O136" s="8" t="str">
        <f>IF(AND(ISNUMBER(N136),ISNUMBER(I136)),ROUND(I136-N136,2),"")</f>
        <v/>
      </c>
      <c r="P136" s="9" t="str">
        <f>IF(ISNUMBER(O136),IF(AND(ISNUMBER($G$5),ABS(O136)&gt;$G$5),"Revisa el descuadre",IF(AND(ISNUMBER(J136),ISNUMBER(E136)),IF(ROUND(J136-E136,2)&lt;&gt;0,"El datáfono no cuadra con la tarjeta",""),"")),IF(AND(ISNUMBER(J136),ISNUMBER(E136)),IF(ROUND(J136-E136,2)&lt;&gt;0,"El datáfono no cuadra con la tarjeta",""),""))</f>
        <v/>
      </c>
      <c r="Q136" s="4" t="n"/>
    </row>
    <row r="137">
      <c r="A137" s="7" t="n"/>
      <c r="B137" t="str">
        <f>IF(ISNUMBER(A137),CHOOSE(WEEKDAY(A137,2),"lunes","martes","miércoles","jueves","viernes","sábado","domingo"),"")</f>
        <v/>
      </c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8" t="str">
        <f>IF(AND(ISNUMBER(A137),COUNT(D137:F137)&gt;0),N(D137)+N(E137)+N(F137),"")</f>
        <v/>
      </c>
      <c r="M137" s="8" t="str">
        <f>IF(AND(ISNUMBER(L137),ISNUMBER($C$5),$C$5&gt;=0),ROUND(L137/(1+$C$5/100),2),"")</f>
        <v/>
      </c>
      <c r="N137" s="8" t="str">
        <f>IF(AND(ISNUMBER(A137),COUNT(C137:D137)&gt;0),N(C137)+N(D137)-N(G137)-N(H137),"")</f>
        <v/>
      </c>
      <c r="O137" s="8" t="str">
        <f>IF(AND(ISNUMBER(N137),ISNUMBER(I137)),ROUND(I137-N137,2),"")</f>
        <v/>
      </c>
      <c r="P137" s="9" t="str">
        <f>IF(ISNUMBER(O137),IF(AND(ISNUMBER($G$5),ABS(O137)&gt;$G$5),"Revisa el descuadre",IF(AND(ISNUMBER(J137),ISNUMBER(E137)),IF(ROUND(J137-E137,2)&lt;&gt;0,"El datáfono no cuadra con la tarjeta",""),"")),IF(AND(ISNUMBER(J137),ISNUMBER(E137)),IF(ROUND(J137-E137,2)&lt;&gt;0,"El datáfono no cuadra con la tarjeta",""),""))</f>
        <v/>
      </c>
      <c r="Q137" s="4" t="n"/>
    </row>
    <row r="138">
      <c r="A138" s="7" t="n"/>
      <c r="B138" t="str">
        <f>IF(ISNUMBER(A138),CHOOSE(WEEKDAY(A138,2),"lunes","martes","miércoles","jueves","viernes","sábado","domingo"),"")</f>
        <v/>
      </c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8" t="str">
        <f>IF(AND(ISNUMBER(A138),COUNT(D138:F138)&gt;0),N(D138)+N(E138)+N(F138),"")</f>
        <v/>
      </c>
      <c r="M138" s="8" t="str">
        <f>IF(AND(ISNUMBER(L138),ISNUMBER($C$5),$C$5&gt;=0),ROUND(L138/(1+$C$5/100),2),"")</f>
        <v/>
      </c>
      <c r="N138" s="8" t="str">
        <f>IF(AND(ISNUMBER(A138),COUNT(C138:D138)&gt;0),N(C138)+N(D138)-N(G138)-N(H138),"")</f>
        <v/>
      </c>
      <c r="O138" s="8" t="str">
        <f>IF(AND(ISNUMBER(N138),ISNUMBER(I138)),ROUND(I138-N138,2),"")</f>
        <v/>
      </c>
      <c r="P138" s="9" t="str">
        <f>IF(ISNUMBER(O138),IF(AND(ISNUMBER($G$5),ABS(O138)&gt;$G$5),"Revisa el descuadre",IF(AND(ISNUMBER(J138),ISNUMBER(E138)),IF(ROUND(J138-E138,2)&lt;&gt;0,"El datáfono no cuadra con la tarjeta",""),"")),IF(AND(ISNUMBER(J138),ISNUMBER(E138)),IF(ROUND(J138-E138,2)&lt;&gt;0,"El datáfono no cuadra con la tarjeta",""),""))</f>
        <v/>
      </c>
      <c r="Q138" s="4" t="n"/>
    </row>
    <row r="139">
      <c r="A139" s="7" t="n"/>
      <c r="B139" t="str">
        <f>IF(ISNUMBER(A139),CHOOSE(WEEKDAY(A139,2),"lunes","martes","miércoles","jueves","viernes","sábado","domingo"),"")</f>
        <v/>
      </c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8" t="str">
        <f>IF(AND(ISNUMBER(A139),COUNT(D139:F139)&gt;0),N(D139)+N(E139)+N(F139),"")</f>
        <v/>
      </c>
      <c r="M139" s="8" t="str">
        <f>IF(AND(ISNUMBER(L139),ISNUMBER($C$5),$C$5&gt;=0),ROUND(L139/(1+$C$5/100),2),"")</f>
        <v/>
      </c>
      <c r="N139" s="8" t="str">
        <f>IF(AND(ISNUMBER(A139),COUNT(C139:D139)&gt;0),N(C139)+N(D139)-N(G139)-N(H139),"")</f>
        <v/>
      </c>
      <c r="O139" s="8" t="str">
        <f>IF(AND(ISNUMBER(N139),ISNUMBER(I139)),ROUND(I139-N139,2),"")</f>
        <v/>
      </c>
      <c r="P139" s="9" t="str">
        <f>IF(ISNUMBER(O139),IF(AND(ISNUMBER($G$5),ABS(O139)&gt;$G$5),"Revisa el descuadre",IF(AND(ISNUMBER(J139),ISNUMBER(E139)),IF(ROUND(J139-E139,2)&lt;&gt;0,"El datáfono no cuadra con la tarjeta",""),"")),IF(AND(ISNUMBER(J139),ISNUMBER(E139)),IF(ROUND(J139-E139,2)&lt;&gt;0,"El datáfono no cuadra con la tarjeta",""),""))</f>
        <v/>
      </c>
      <c r="Q139" s="4" t="n"/>
    </row>
    <row r="140">
      <c r="A140" s="7" t="n"/>
      <c r="B140" t="str">
        <f>IF(ISNUMBER(A140),CHOOSE(WEEKDAY(A140,2),"lunes","martes","miércoles","jueves","viernes","sábado","domingo"),"")</f>
        <v/>
      </c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8" t="str">
        <f>IF(AND(ISNUMBER(A140),COUNT(D140:F140)&gt;0),N(D140)+N(E140)+N(F140),"")</f>
        <v/>
      </c>
      <c r="M140" s="8" t="str">
        <f>IF(AND(ISNUMBER(L140),ISNUMBER($C$5),$C$5&gt;=0),ROUND(L140/(1+$C$5/100),2),"")</f>
        <v/>
      </c>
      <c r="N140" s="8" t="str">
        <f>IF(AND(ISNUMBER(A140),COUNT(C140:D140)&gt;0),N(C140)+N(D140)-N(G140)-N(H140),"")</f>
        <v/>
      </c>
      <c r="O140" s="8" t="str">
        <f>IF(AND(ISNUMBER(N140),ISNUMBER(I140)),ROUND(I140-N140,2),"")</f>
        <v/>
      </c>
      <c r="P140" s="9" t="str">
        <f>IF(ISNUMBER(O140),IF(AND(ISNUMBER($G$5),ABS(O140)&gt;$G$5),"Revisa el descuadre",IF(AND(ISNUMBER(J140),ISNUMBER(E140)),IF(ROUND(J140-E140,2)&lt;&gt;0,"El datáfono no cuadra con la tarjeta",""),"")),IF(AND(ISNUMBER(J140),ISNUMBER(E140)),IF(ROUND(J140-E140,2)&lt;&gt;0,"El datáfono no cuadra con la tarjeta",""),""))</f>
        <v/>
      </c>
      <c r="Q140" s="4" t="n"/>
    </row>
    <row r="141">
      <c r="A141" s="7" t="n"/>
      <c r="B141" t="str">
        <f>IF(ISNUMBER(A141),CHOOSE(WEEKDAY(A141,2),"lunes","martes","miércoles","jueves","viernes","sábado","domingo"),"")</f>
        <v/>
      </c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8" t="str">
        <f>IF(AND(ISNUMBER(A141),COUNT(D141:F141)&gt;0),N(D141)+N(E141)+N(F141),"")</f>
        <v/>
      </c>
      <c r="M141" s="8" t="str">
        <f>IF(AND(ISNUMBER(L141),ISNUMBER($C$5),$C$5&gt;=0),ROUND(L141/(1+$C$5/100),2),"")</f>
        <v/>
      </c>
      <c r="N141" s="8" t="str">
        <f>IF(AND(ISNUMBER(A141),COUNT(C141:D141)&gt;0),N(C141)+N(D141)-N(G141)-N(H141),"")</f>
        <v/>
      </c>
      <c r="O141" s="8" t="str">
        <f>IF(AND(ISNUMBER(N141),ISNUMBER(I141)),ROUND(I141-N141,2),"")</f>
        <v/>
      </c>
      <c r="P141" s="9" t="str">
        <f>IF(ISNUMBER(O141),IF(AND(ISNUMBER($G$5),ABS(O141)&gt;$G$5),"Revisa el descuadre",IF(AND(ISNUMBER(J141),ISNUMBER(E141)),IF(ROUND(J141-E141,2)&lt;&gt;0,"El datáfono no cuadra con la tarjeta",""),"")),IF(AND(ISNUMBER(J141),ISNUMBER(E141)),IF(ROUND(J141-E141,2)&lt;&gt;0,"El datáfono no cuadra con la tarjeta",""),""))</f>
        <v/>
      </c>
      <c r="Q141" s="4" t="n"/>
    </row>
    <row r="142">
      <c r="A142" s="7" t="n"/>
      <c r="B142" t="str">
        <f>IF(ISNUMBER(A142),CHOOSE(WEEKDAY(A142,2),"lunes","martes","miércoles","jueves","viernes","sábado","domingo"),"")</f>
        <v/>
      </c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8" t="str">
        <f>IF(AND(ISNUMBER(A142),COUNT(D142:F142)&gt;0),N(D142)+N(E142)+N(F142),"")</f>
        <v/>
      </c>
      <c r="M142" s="8" t="str">
        <f>IF(AND(ISNUMBER(L142),ISNUMBER($C$5),$C$5&gt;=0),ROUND(L142/(1+$C$5/100),2),"")</f>
        <v/>
      </c>
      <c r="N142" s="8" t="str">
        <f>IF(AND(ISNUMBER(A142),COUNT(C142:D142)&gt;0),N(C142)+N(D142)-N(G142)-N(H142),"")</f>
        <v/>
      </c>
      <c r="O142" s="8" t="str">
        <f>IF(AND(ISNUMBER(N142),ISNUMBER(I142)),ROUND(I142-N142,2),"")</f>
        <v/>
      </c>
      <c r="P142" s="9" t="str">
        <f>IF(ISNUMBER(O142),IF(AND(ISNUMBER($G$5),ABS(O142)&gt;$G$5),"Revisa el descuadre",IF(AND(ISNUMBER(J142),ISNUMBER(E142)),IF(ROUND(J142-E142,2)&lt;&gt;0,"El datáfono no cuadra con la tarjeta",""),"")),IF(AND(ISNUMBER(J142),ISNUMBER(E142)),IF(ROUND(J142-E142,2)&lt;&gt;0,"El datáfono no cuadra con la tarjeta",""),""))</f>
        <v/>
      </c>
      <c r="Q142" s="4" t="n"/>
    </row>
    <row r="143">
      <c r="A143" s="7" t="n"/>
      <c r="B143" t="str">
        <f>IF(ISNUMBER(A143),CHOOSE(WEEKDAY(A143,2),"lunes","martes","miércoles","jueves","viernes","sábado","domingo"),"")</f>
        <v/>
      </c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8" t="str">
        <f>IF(AND(ISNUMBER(A143),COUNT(D143:F143)&gt;0),N(D143)+N(E143)+N(F143),"")</f>
        <v/>
      </c>
      <c r="M143" s="8" t="str">
        <f>IF(AND(ISNUMBER(L143),ISNUMBER($C$5),$C$5&gt;=0),ROUND(L143/(1+$C$5/100),2),"")</f>
        <v/>
      </c>
      <c r="N143" s="8" t="str">
        <f>IF(AND(ISNUMBER(A143),COUNT(C143:D143)&gt;0),N(C143)+N(D143)-N(G143)-N(H143),"")</f>
        <v/>
      </c>
      <c r="O143" s="8" t="str">
        <f>IF(AND(ISNUMBER(N143),ISNUMBER(I143)),ROUND(I143-N143,2),"")</f>
        <v/>
      </c>
      <c r="P143" s="9" t="str">
        <f>IF(ISNUMBER(O143),IF(AND(ISNUMBER($G$5),ABS(O143)&gt;$G$5),"Revisa el descuadre",IF(AND(ISNUMBER(J143),ISNUMBER(E143)),IF(ROUND(J143-E143,2)&lt;&gt;0,"El datáfono no cuadra con la tarjeta",""),"")),IF(AND(ISNUMBER(J143),ISNUMBER(E143)),IF(ROUND(J143-E143,2)&lt;&gt;0,"El datáfono no cuadra con la tarjeta",""),""))</f>
        <v/>
      </c>
      <c r="Q143" s="4" t="n"/>
    </row>
    <row r="144">
      <c r="A144" s="7" t="n"/>
      <c r="B144" t="str">
        <f>IF(ISNUMBER(A144),CHOOSE(WEEKDAY(A144,2),"lunes","martes","miércoles","jueves","viernes","sábado","domingo"),"")</f>
        <v/>
      </c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8" t="str">
        <f>IF(AND(ISNUMBER(A144),COUNT(D144:F144)&gt;0),N(D144)+N(E144)+N(F144),"")</f>
        <v/>
      </c>
      <c r="M144" s="8" t="str">
        <f>IF(AND(ISNUMBER(L144),ISNUMBER($C$5),$C$5&gt;=0),ROUND(L144/(1+$C$5/100),2),"")</f>
        <v/>
      </c>
      <c r="N144" s="8" t="str">
        <f>IF(AND(ISNUMBER(A144),COUNT(C144:D144)&gt;0),N(C144)+N(D144)-N(G144)-N(H144),"")</f>
        <v/>
      </c>
      <c r="O144" s="8" t="str">
        <f>IF(AND(ISNUMBER(N144),ISNUMBER(I144)),ROUND(I144-N144,2),"")</f>
        <v/>
      </c>
      <c r="P144" s="9" t="str">
        <f>IF(ISNUMBER(O144),IF(AND(ISNUMBER($G$5),ABS(O144)&gt;$G$5),"Revisa el descuadre",IF(AND(ISNUMBER(J144),ISNUMBER(E144)),IF(ROUND(J144-E144,2)&lt;&gt;0,"El datáfono no cuadra con la tarjeta",""),"")),IF(AND(ISNUMBER(J144),ISNUMBER(E144)),IF(ROUND(J144-E144,2)&lt;&gt;0,"El datáfono no cuadra con la tarjeta",""),""))</f>
        <v/>
      </c>
      <c r="Q144" s="4" t="n"/>
    </row>
    <row r="145">
      <c r="A145" s="7" t="n"/>
      <c r="B145" t="str">
        <f>IF(ISNUMBER(A145),CHOOSE(WEEKDAY(A145,2),"lunes","martes","miércoles","jueves","viernes","sábado","domingo"),"")</f>
        <v/>
      </c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8" t="str">
        <f>IF(AND(ISNUMBER(A145),COUNT(D145:F145)&gt;0),N(D145)+N(E145)+N(F145),"")</f>
        <v/>
      </c>
      <c r="M145" s="8" t="str">
        <f>IF(AND(ISNUMBER(L145),ISNUMBER($C$5),$C$5&gt;=0),ROUND(L145/(1+$C$5/100),2),"")</f>
        <v/>
      </c>
      <c r="N145" s="8" t="str">
        <f>IF(AND(ISNUMBER(A145),COUNT(C145:D145)&gt;0),N(C145)+N(D145)-N(G145)-N(H145),"")</f>
        <v/>
      </c>
      <c r="O145" s="8" t="str">
        <f>IF(AND(ISNUMBER(N145),ISNUMBER(I145)),ROUND(I145-N145,2),"")</f>
        <v/>
      </c>
      <c r="P145" s="9" t="str">
        <f>IF(ISNUMBER(O145),IF(AND(ISNUMBER($G$5),ABS(O145)&gt;$G$5),"Revisa el descuadre",IF(AND(ISNUMBER(J145),ISNUMBER(E145)),IF(ROUND(J145-E145,2)&lt;&gt;0,"El datáfono no cuadra con la tarjeta",""),"")),IF(AND(ISNUMBER(J145),ISNUMBER(E145)),IF(ROUND(J145-E145,2)&lt;&gt;0,"El datáfono no cuadra con la tarjeta",""),""))</f>
        <v/>
      </c>
      <c r="Q145" s="4" t="n"/>
    </row>
    <row r="146">
      <c r="A146" s="7" t="n"/>
      <c r="B146" t="str">
        <f>IF(ISNUMBER(A146),CHOOSE(WEEKDAY(A146,2),"lunes","martes","miércoles","jueves","viernes","sábado","domingo"),"")</f>
        <v/>
      </c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8" t="str">
        <f>IF(AND(ISNUMBER(A146),COUNT(D146:F146)&gt;0),N(D146)+N(E146)+N(F146),"")</f>
        <v/>
      </c>
      <c r="M146" s="8" t="str">
        <f>IF(AND(ISNUMBER(L146),ISNUMBER($C$5),$C$5&gt;=0),ROUND(L146/(1+$C$5/100),2),"")</f>
        <v/>
      </c>
      <c r="N146" s="8" t="str">
        <f>IF(AND(ISNUMBER(A146),COUNT(C146:D146)&gt;0),N(C146)+N(D146)-N(G146)-N(H146),"")</f>
        <v/>
      </c>
      <c r="O146" s="8" t="str">
        <f>IF(AND(ISNUMBER(N146),ISNUMBER(I146)),ROUND(I146-N146,2),"")</f>
        <v/>
      </c>
      <c r="P146" s="9" t="str">
        <f>IF(ISNUMBER(O146),IF(AND(ISNUMBER($G$5),ABS(O146)&gt;$G$5),"Revisa el descuadre",IF(AND(ISNUMBER(J146),ISNUMBER(E146)),IF(ROUND(J146-E146,2)&lt;&gt;0,"El datáfono no cuadra con la tarjeta",""),"")),IF(AND(ISNUMBER(J146),ISNUMBER(E146)),IF(ROUND(J146-E146,2)&lt;&gt;0,"El datáfono no cuadra con la tarjeta",""),""))</f>
        <v/>
      </c>
      <c r="Q146" s="4" t="n"/>
    </row>
    <row r="147">
      <c r="A147" s="7" t="n"/>
      <c r="B147" t="str">
        <f>IF(ISNUMBER(A147),CHOOSE(WEEKDAY(A147,2),"lunes","martes","miércoles","jueves","viernes","sábado","domingo"),"")</f>
        <v/>
      </c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8" t="str">
        <f>IF(AND(ISNUMBER(A147),COUNT(D147:F147)&gt;0),N(D147)+N(E147)+N(F147),"")</f>
        <v/>
      </c>
      <c r="M147" s="8" t="str">
        <f>IF(AND(ISNUMBER(L147),ISNUMBER($C$5),$C$5&gt;=0),ROUND(L147/(1+$C$5/100),2),"")</f>
        <v/>
      </c>
      <c r="N147" s="8" t="str">
        <f>IF(AND(ISNUMBER(A147),COUNT(C147:D147)&gt;0),N(C147)+N(D147)-N(G147)-N(H147),"")</f>
        <v/>
      </c>
      <c r="O147" s="8" t="str">
        <f>IF(AND(ISNUMBER(N147),ISNUMBER(I147)),ROUND(I147-N147,2),"")</f>
        <v/>
      </c>
      <c r="P147" s="9" t="str">
        <f>IF(ISNUMBER(O147),IF(AND(ISNUMBER($G$5),ABS(O147)&gt;$G$5),"Revisa el descuadre",IF(AND(ISNUMBER(J147),ISNUMBER(E147)),IF(ROUND(J147-E147,2)&lt;&gt;0,"El datáfono no cuadra con la tarjeta",""),"")),IF(AND(ISNUMBER(J147),ISNUMBER(E147)),IF(ROUND(J147-E147,2)&lt;&gt;0,"El datáfono no cuadra con la tarjeta",""),""))</f>
        <v/>
      </c>
      <c r="Q147" s="4" t="n"/>
    </row>
    <row r="148">
      <c r="A148" s="7" t="n"/>
      <c r="B148" t="str">
        <f>IF(ISNUMBER(A148),CHOOSE(WEEKDAY(A148,2),"lunes","martes","miércoles","jueves","viernes","sábado","domingo"),"")</f>
        <v/>
      </c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8" t="str">
        <f>IF(AND(ISNUMBER(A148),COUNT(D148:F148)&gt;0),N(D148)+N(E148)+N(F148),"")</f>
        <v/>
      </c>
      <c r="M148" s="8" t="str">
        <f>IF(AND(ISNUMBER(L148),ISNUMBER($C$5),$C$5&gt;=0),ROUND(L148/(1+$C$5/100),2),"")</f>
        <v/>
      </c>
      <c r="N148" s="8" t="str">
        <f>IF(AND(ISNUMBER(A148),COUNT(C148:D148)&gt;0),N(C148)+N(D148)-N(G148)-N(H148),"")</f>
        <v/>
      </c>
      <c r="O148" s="8" t="str">
        <f>IF(AND(ISNUMBER(N148),ISNUMBER(I148)),ROUND(I148-N148,2),"")</f>
        <v/>
      </c>
      <c r="P148" s="9" t="str">
        <f>IF(ISNUMBER(O148),IF(AND(ISNUMBER($G$5),ABS(O148)&gt;$G$5),"Revisa el descuadre",IF(AND(ISNUMBER(J148),ISNUMBER(E148)),IF(ROUND(J148-E148,2)&lt;&gt;0,"El datáfono no cuadra con la tarjeta",""),"")),IF(AND(ISNUMBER(J148),ISNUMBER(E148)),IF(ROUND(J148-E148,2)&lt;&gt;0,"El datáfono no cuadra con la tarjeta",""),""))</f>
        <v/>
      </c>
      <c r="Q148" s="4" t="n"/>
    </row>
    <row r="149">
      <c r="A149" s="7" t="n"/>
      <c r="B149" t="str">
        <f>IF(ISNUMBER(A149),CHOOSE(WEEKDAY(A149,2),"lunes","martes","miércoles","jueves","viernes","sábado","domingo"),"")</f>
        <v/>
      </c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8" t="str">
        <f>IF(AND(ISNUMBER(A149),COUNT(D149:F149)&gt;0),N(D149)+N(E149)+N(F149),"")</f>
        <v/>
      </c>
      <c r="M149" s="8" t="str">
        <f>IF(AND(ISNUMBER(L149),ISNUMBER($C$5),$C$5&gt;=0),ROUND(L149/(1+$C$5/100),2),"")</f>
        <v/>
      </c>
      <c r="N149" s="8" t="str">
        <f>IF(AND(ISNUMBER(A149),COUNT(C149:D149)&gt;0),N(C149)+N(D149)-N(G149)-N(H149),"")</f>
        <v/>
      </c>
      <c r="O149" s="8" t="str">
        <f>IF(AND(ISNUMBER(N149),ISNUMBER(I149)),ROUND(I149-N149,2),"")</f>
        <v/>
      </c>
      <c r="P149" s="9" t="str">
        <f>IF(ISNUMBER(O149),IF(AND(ISNUMBER($G$5),ABS(O149)&gt;$G$5),"Revisa el descuadre",IF(AND(ISNUMBER(J149),ISNUMBER(E149)),IF(ROUND(J149-E149,2)&lt;&gt;0,"El datáfono no cuadra con la tarjeta",""),"")),IF(AND(ISNUMBER(J149),ISNUMBER(E149)),IF(ROUND(J149-E149,2)&lt;&gt;0,"El datáfono no cuadra con la tarjeta",""),""))</f>
        <v/>
      </c>
      <c r="Q149" s="4" t="n"/>
    </row>
    <row r="150">
      <c r="A150" s="7" t="n"/>
      <c r="B150" t="str">
        <f>IF(ISNUMBER(A150),CHOOSE(WEEKDAY(A150,2),"lunes","martes","miércoles","jueves","viernes","sábado","domingo"),"")</f>
        <v/>
      </c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8" t="str">
        <f>IF(AND(ISNUMBER(A150),COUNT(D150:F150)&gt;0),N(D150)+N(E150)+N(F150),"")</f>
        <v/>
      </c>
      <c r="M150" s="8" t="str">
        <f>IF(AND(ISNUMBER(L150),ISNUMBER($C$5),$C$5&gt;=0),ROUND(L150/(1+$C$5/100),2),"")</f>
        <v/>
      </c>
      <c r="N150" s="8" t="str">
        <f>IF(AND(ISNUMBER(A150),COUNT(C150:D150)&gt;0),N(C150)+N(D150)-N(G150)-N(H150),"")</f>
        <v/>
      </c>
      <c r="O150" s="8" t="str">
        <f>IF(AND(ISNUMBER(N150),ISNUMBER(I150)),ROUND(I150-N150,2),"")</f>
        <v/>
      </c>
      <c r="P150" s="9" t="str">
        <f>IF(ISNUMBER(O150),IF(AND(ISNUMBER($G$5),ABS(O150)&gt;$G$5),"Revisa el descuadre",IF(AND(ISNUMBER(J150),ISNUMBER(E150)),IF(ROUND(J150-E150,2)&lt;&gt;0,"El datáfono no cuadra con la tarjeta",""),"")),IF(AND(ISNUMBER(J150),ISNUMBER(E150)),IF(ROUND(J150-E150,2)&lt;&gt;0,"El datáfono no cuadra con la tarjeta",""),""))</f>
        <v/>
      </c>
      <c r="Q150" s="4" t="n"/>
    </row>
    <row r="151">
      <c r="A151" s="7" t="n"/>
      <c r="B151" t="str">
        <f>IF(ISNUMBER(A151),CHOOSE(WEEKDAY(A151,2),"lunes","martes","miércoles","jueves","viernes","sábado","domingo"),"")</f>
        <v/>
      </c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8" t="str">
        <f>IF(AND(ISNUMBER(A151),COUNT(D151:F151)&gt;0),N(D151)+N(E151)+N(F151),"")</f>
        <v/>
      </c>
      <c r="M151" s="8" t="str">
        <f>IF(AND(ISNUMBER(L151),ISNUMBER($C$5),$C$5&gt;=0),ROUND(L151/(1+$C$5/100),2),"")</f>
        <v/>
      </c>
      <c r="N151" s="8" t="str">
        <f>IF(AND(ISNUMBER(A151),COUNT(C151:D151)&gt;0),N(C151)+N(D151)-N(G151)-N(H151),"")</f>
        <v/>
      </c>
      <c r="O151" s="8" t="str">
        <f>IF(AND(ISNUMBER(N151),ISNUMBER(I151)),ROUND(I151-N151,2),"")</f>
        <v/>
      </c>
      <c r="P151" s="9" t="str">
        <f>IF(ISNUMBER(O151),IF(AND(ISNUMBER($G$5),ABS(O151)&gt;$G$5),"Revisa el descuadre",IF(AND(ISNUMBER(J151),ISNUMBER(E151)),IF(ROUND(J151-E151,2)&lt;&gt;0,"El datáfono no cuadra con la tarjeta",""),"")),IF(AND(ISNUMBER(J151),ISNUMBER(E151)),IF(ROUND(J151-E151,2)&lt;&gt;0,"El datáfono no cuadra con la tarjeta",""),""))</f>
        <v/>
      </c>
      <c r="Q151" s="4" t="n"/>
    </row>
    <row r="152">
      <c r="A152" s="7" t="n"/>
      <c r="B152" t="str">
        <f>IF(ISNUMBER(A152),CHOOSE(WEEKDAY(A152,2),"lunes","martes","miércoles","jueves","viernes","sábado","domingo"),"")</f>
        <v/>
      </c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8" t="str">
        <f>IF(AND(ISNUMBER(A152),COUNT(D152:F152)&gt;0),N(D152)+N(E152)+N(F152),"")</f>
        <v/>
      </c>
      <c r="M152" s="8" t="str">
        <f>IF(AND(ISNUMBER(L152),ISNUMBER($C$5),$C$5&gt;=0),ROUND(L152/(1+$C$5/100),2),"")</f>
        <v/>
      </c>
      <c r="N152" s="8" t="str">
        <f>IF(AND(ISNUMBER(A152),COUNT(C152:D152)&gt;0),N(C152)+N(D152)-N(G152)-N(H152),"")</f>
        <v/>
      </c>
      <c r="O152" s="8" t="str">
        <f>IF(AND(ISNUMBER(N152),ISNUMBER(I152)),ROUND(I152-N152,2),"")</f>
        <v/>
      </c>
      <c r="P152" s="9" t="str">
        <f>IF(ISNUMBER(O152),IF(AND(ISNUMBER($G$5),ABS(O152)&gt;$G$5),"Revisa el descuadre",IF(AND(ISNUMBER(J152),ISNUMBER(E152)),IF(ROUND(J152-E152,2)&lt;&gt;0,"El datáfono no cuadra con la tarjeta",""),"")),IF(AND(ISNUMBER(J152),ISNUMBER(E152)),IF(ROUND(J152-E152,2)&lt;&gt;0,"El datáfono no cuadra con la tarjeta",""),""))</f>
        <v/>
      </c>
      <c r="Q152" s="4" t="n"/>
    </row>
    <row r="153">
      <c r="A153" s="7" t="n"/>
      <c r="B153" t="str">
        <f>IF(ISNUMBER(A153),CHOOSE(WEEKDAY(A153,2),"lunes","martes","miércoles","jueves","viernes","sábado","domingo"),"")</f>
        <v/>
      </c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8" t="str">
        <f>IF(AND(ISNUMBER(A153),COUNT(D153:F153)&gt;0),N(D153)+N(E153)+N(F153),"")</f>
        <v/>
      </c>
      <c r="M153" s="8" t="str">
        <f>IF(AND(ISNUMBER(L153),ISNUMBER($C$5),$C$5&gt;=0),ROUND(L153/(1+$C$5/100),2),"")</f>
        <v/>
      </c>
      <c r="N153" s="8" t="str">
        <f>IF(AND(ISNUMBER(A153),COUNT(C153:D153)&gt;0),N(C153)+N(D153)-N(G153)-N(H153),"")</f>
        <v/>
      </c>
      <c r="O153" s="8" t="str">
        <f>IF(AND(ISNUMBER(N153),ISNUMBER(I153)),ROUND(I153-N153,2),"")</f>
        <v/>
      </c>
      <c r="P153" s="9" t="str">
        <f>IF(ISNUMBER(O153),IF(AND(ISNUMBER($G$5),ABS(O153)&gt;$G$5),"Revisa el descuadre",IF(AND(ISNUMBER(J153),ISNUMBER(E153)),IF(ROUND(J153-E153,2)&lt;&gt;0,"El datáfono no cuadra con la tarjeta",""),"")),IF(AND(ISNUMBER(J153),ISNUMBER(E153)),IF(ROUND(J153-E153,2)&lt;&gt;0,"El datáfono no cuadra con la tarjeta",""),""))</f>
        <v/>
      </c>
      <c r="Q153" s="4" t="n"/>
    </row>
    <row r="154">
      <c r="A154" s="7" t="n"/>
      <c r="B154" t="str">
        <f>IF(ISNUMBER(A154),CHOOSE(WEEKDAY(A154,2),"lunes","martes","miércoles","jueves","viernes","sábado","domingo"),"")</f>
        <v/>
      </c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8" t="str">
        <f>IF(AND(ISNUMBER(A154),COUNT(D154:F154)&gt;0),N(D154)+N(E154)+N(F154),"")</f>
        <v/>
      </c>
      <c r="M154" s="8" t="str">
        <f>IF(AND(ISNUMBER(L154),ISNUMBER($C$5),$C$5&gt;=0),ROUND(L154/(1+$C$5/100),2),"")</f>
        <v/>
      </c>
      <c r="N154" s="8" t="str">
        <f>IF(AND(ISNUMBER(A154),COUNT(C154:D154)&gt;0),N(C154)+N(D154)-N(G154)-N(H154),"")</f>
        <v/>
      </c>
      <c r="O154" s="8" t="str">
        <f>IF(AND(ISNUMBER(N154),ISNUMBER(I154)),ROUND(I154-N154,2),"")</f>
        <v/>
      </c>
      <c r="P154" s="9" t="str">
        <f>IF(ISNUMBER(O154),IF(AND(ISNUMBER($G$5),ABS(O154)&gt;$G$5),"Revisa el descuadre",IF(AND(ISNUMBER(J154),ISNUMBER(E154)),IF(ROUND(J154-E154,2)&lt;&gt;0,"El datáfono no cuadra con la tarjeta",""),"")),IF(AND(ISNUMBER(J154),ISNUMBER(E154)),IF(ROUND(J154-E154,2)&lt;&gt;0,"El datáfono no cuadra con la tarjeta",""),""))</f>
        <v/>
      </c>
      <c r="Q154" s="4" t="n"/>
    </row>
    <row r="155">
      <c r="A155" s="7" t="n"/>
      <c r="B155" t="str">
        <f>IF(ISNUMBER(A155),CHOOSE(WEEKDAY(A155,2),"lunes","martes","miércoles","jueves","viernes","sábado","domingo"),"")</f>
        <v/>
      </c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8" t="str">
        <f>IF(AND(ISNUMBER(A155),COUNT(D155:F155)&gt;0),N(D155)+N(E155)+N(F155),"")</f>
        <v/>
      </c>
      <c r="M155" s="8" t="str">
        <f>IF(AND(ISNUMBER(L155),ISNUMBER($C$5),$C$5&gt;=0),ROUND(L155/(1+$C$5/100),2),"")</f>
        <v/>
      </c>
      <c r="N155" s="8" t="str">
        <f>IF(AND(ISNUMBER(A155),COUNT(C155:D155)&gt;0),N(C155)+N(D155)-N(G155)-N(H155),"")</f>
        <v/>
      </c>
      <c r="O155" s="8" t="str">
        <f>IF(AND(ISNUMBER(N155),ISNUMBER(I155)),ROUND(I155-N155,2),"")</f>
        <v/>
      </c>
      <c r="P155" s="9" t="str">
        <f>IF(ISNUMBER(O155),IF(AND(ISNUMBER($G$5),ABS(O155)&gt;$G$5),"Revisa el descuadre",IF(AND(ISNUMBER(J155),ISNUMBER(E155)),IF(ROUND(J155-E155,2)&lt;&gt;0,"El datáfono no cuadra con la tarjeta",""),"")),IF(AND(ISNUMBER(J155),ISNUMBER(E155)),IF(ROUND(J155-E155,2)&lt;&gt;0,"El datáfono no cuadra con la tarjeta",""),""))</f>
        <v/>
      </c>
      <c r="Q155" s="4" t="n"/>
    </row>
    <row r="156">
      <c r="A156" s="7" t="n"/>
      <c r="B156" t="str">
        <f>IF(ISNUMBER(A156),CHOOSE(WEEKDAY(A156,2),"lunes","martes","miércoles","jueves","viernes","sábado","domingo"),"")</f>
        <v/>
      </c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8" t="str">
        <f>IF(AND(ISNUMBER(A156),COUNT(D156:F156)&gt;0),N(D156)+N(E156)+N(F156),"")</f>
        <v/>
      </c>
      <c r="M156" s="8" t="str">
        <f>IF(AND(ISNUMBER(L156),ISNUMBER($C$5),$C$5&gt;=0),ROUND(L156/(1+$C$5/100),2),"")</f>
        <v/>
      </c>
      <c r="N156" s="8" t="str">
        <f>IF(AND(ISNUMBER(A156),COUNT(C156:D156)&gt;0),N(C156)+N(D156)-N(G156)-N(H156),"")</f>
        <v/>
      </c>
      <c r="O156" s="8" t="str">
        <f>IF(AND(ISNUMBER(N156),ISNUMBER(I156)),ROUND(I156-N156,2),"")</f>
        <v/>
      </c>
      <c r="P156" s="9" t="str">
        <f>IF(ISNUMBER(O156),IF(AND(ISNUMBER($G$5),ABS(O156)&gt;$G$5),"Revisa el descuadre",IF(AND(ISNUMBER(J156),ISNUMBER(E156)),IF(ROUND(J156-E156,2)&lt;&gt;0,"El datáfono no cuadra con la tarjeta",""),"")),IF(AND(ISNUMBER(J156),ISNUMBER(E156)),IF(ROUND(J156-E156,2)&lt;&gt;0,"El datáfono no cuadra con la tarjeta",""),""))</f>
        <v/>
      </c>
      <c r="Q156" s="4" t="n"/>
    </row>
    <row r="157">
      <c r="A157" s="7" t="n"/>
      <c r="B157" t="str">
        <f>IF(ISNUMBER(A157),CHOOSE(WEEKDAY(A157,2),"lunes","martes","miércoles","jueves","viernes","sábado","domingo"),"")</f>
        <v/>
      </c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8" t="str">
        <f>IF(AND(ISNUMBER(A157),COUNT(D157:F157)&gt;0),N(D157)+N(E157)+N(F157),"")</f>
        <v/>
      </c>
      <c r="M157" s="8" t="str">
        <f>IF(AND(ISNUMBER(L157),ISNUMBER($C$5),$C$5&gt;=0),ROUND(L157/(1+$C$5/100),2),"")</f>
        <v/>
      </c>
      <c r="N157" s="8" t="str">
        <f>IF(AND(ISNUMBER(A157),COUNT(C157:D157)&gt;0),N(C157)+N(D157)-N(G157)-N(H157),"")</f>
        <v/>
      </c>
      <c r="O157" s="8" t="str">
        <f>IF(AND(ISNUMBER(N157),ISNUMBER(I157)),ROUND(I157-N157,2),"")</f>
        <v/>
      </c>
      <c r="P157" s="9" t="str">
        <f>IF(ISNUMBER(O157),IF(AND(ISNUMBER($G$5),ABS(O157)&gt;$G$5),"Revisa el descuadre",IF(AND(ISNUMBER(J157),ISNUMBER(E157)),IF(ROUND(J157-E157,2)&lt;&gt;0,"El datáfono no cuadra con la tarjeta",""),"")),IF(AND(ISNUMBER(J157),ISNUMBER(E157)),IF(ROUND(J157-E157,2)&lt;&gt;0,"El datáfono no cuadra con la tarjeta",""),""))</f>
        <v/>
      </c>
      <c r="Q157" s="4" t="n"/>
    </row>
    <row r="158">
      <c r="A158" s="7" t="n"/>
      <c r="B158" t="str">
        <f>IF(ISNUMBER(A158),CHOOSE(WEEKDAY(A158,2),"lunes","martes","miércoles","jueves","viernes","sábado","domingo"),"")</f>
        <v/>
      </c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8" t="str">
        <f>IF(AND(ISNUMBER(A158),COUNT(D158:F158)&gt;0),N(D158)+N(E158)+N(F158),"")</f>
        <v/>
      </c>
      <c r="M158" s="8" t="str">
        <f>IF(AND(ISNUMBER(L158),ISNUMBER($C$5),$C$5&gt;=0),ROUND(L158/(1+$C$5/100),2),"")</f>
        <v/>
      </c>
      <c r="N158" s="8" t="str">
        <f>IF(AND(ISNUMBER(A158),COUNT(C158:D158)&gt;0),N(C158)+N(D158)-N(G158)-N(H158),"")</f>
        <v/>
      </c>
      <c r="O158" s="8" t="str">
        <f>IF(AND(ISNUMBER(N158),ISNUMBER(I158)),ROUND(I158-N158,2),"")</f>
        <v/>
      </c>
      <c r="P158" s="9" t="str">
        <f>IF(ISNUMBER(O158),IF(AND(ISNUMBER($G$5),ABS(O158)&gt;$G$5),"Revisa el descuadre",IF(AND(ISNUMBER(J158),ISNUMBER(E158)),IF(ROUND(J158-E158,2)&lt;&gt;0,"El datáfono no cuadra con la tarjeta",""),"")),IF(AND(ISNUMBER(J158),ISNUMBER(E158)),IF(ROUND(J158-E158,2)&lt;&gt;0,"El datáfono no cuadra con la tarjeta",""),""))</f>
        <v/>
      </c>
      <c r="Q158" s="4" t="n"/>
    </row>
    <row r="159">
      <c r="A159" s="7" t="n"/>
      <c r="B159" t="str">
        <f>IF(ISNUMBER(A159),CHOOSE(WEEKDAY(A159,2),"lunes","martes","miércoles","jueves","viernes","sábado","domingo"),"")</f>
        <v/>
      </c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8" t="str">
        <f>IF(AND(ISNUMBER(A159),COUNT(D159:F159)&gt;0),N(D159)+N(E159)+N(F159),"")</f>
        <v/>
      </c>
      <c r="M159" s="8" t="str">
        <f>IF(AND(ISNUMBER(L159),ISNUMBER($C$5),$C$5&gt;=0),ROUND(L159/(1+$C$5/100),2),"")</f>
        <v/>
      </c>
      <c r="N159" s="8" t="str">
        <f>IF(AND(ISNUMBER(A159),COUNT(C159:D159)&gt;0),N(C159)+N(D159)-N(G159)-N(H159),"")</f>
        <v/>
      </c>
      <c r="O159" s="8" t="str">
        <f>IF(AND(ISNUMBER(N159),ISNUMBER(I159)),ROUND(I159-N159,2),"")</f>
        <v/>
      </c>
      <c r="P159" s="9" t="str">
        <f>IF(ISNUMBER(O159),IF(AND(ISNUMBER($G$5),ABS(O159)&gt;$G$5),"Revisa el descuadre",IF(AND(ISNUMBER(J159),ISNUMBER(E159)),IF(ROUND(J159-E159,2)&lt;&gt;0,"El datáfono no cuadra con la tarjeta",""),"")),IF(AND(ISNUMBER(J159),ISNUMBER(E159)),IF(ROUND(J159-E159,2)&lt;&gt;0,"El datáfono no cuadra con la tarjeta",""),""))</f>
        <v/>
      </c>
      <c r="Q159" s="4" t="n"/>
    </row>
    <row r="160">
      <c r="A160" s="7" t="n"/>
      <c r="B160" t="str">
        <f>IF(ISNUMBER(A160),CHOOSE(WEEKDAY(A160,2),"lunes","martes","miércoles","jueves","viernes","sábado","domingo"),"")</f>
        <v/>
      </c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8" t="str">
        <f>IF(AND(ISNUMBER(A160),COUNT(D160:F160)&gt;0),N(D160)+N(E160)+N(F160),"")</f>
        <v/>
      </c>
      <c r="M160" s="8" t="str">
        <f>IF(AND(ISNUMBER(L160),ISNUMBER($C$5),$C$5&gt;=0),ROUND(L160/(1+$C$5/100),2),"")</f>
        <v/>
      </c>
      <c r="N160" s="8" t="str">
        <f>IF(AND(ISNUMBER(A160),COUNT(C160:D160)&gt;0),N(C160)+N(D160)-N(G160)-N(H160),"")</f>
        <v/>
      </c>
      <c r="O160" s="8" t="str">
        <f>IF(AND(ISNUMBER(N160),ISNUMBER(I160)),ROUND(I160-N160,2),"")</f>
        <v/>
      </c>
      <c r="P160" s="9" t="str">
        <f>IF(ISNUMBER(O160),IF(AND(ISNUMBER($G$5),ABS(O160)&gt;$G$5),"Revisa el descuadre",IF(AND(ISNUMBER(J160),ISNUMBER(E160)),IF(ROUND(J160-E160,2)&lt;&gt;0,"El datáfono no cuadra con la tarjeta",""),"")),IF(AND(ISNUMBER(J160),ISNUMBER(E160)),IF(ROUND(J160-E160,2)&lt;&gt;0,"El datáfono no cuadra con la tarjeta",""),""))</f>
        <v/>
      </c>
      <c r="Q160" s="4" t="n"/>
    </row>
    <row r="161">
      <c r="A161" s="7" t="n"/>
      <c r="B161" t="str">
        <f>IF(ISNUMBER(A161),CHOOSE(WEEKDAY(A161,2),"lunes","martes","miércoles","jueves","viernes","sábado","domingo"),"")</f>
        <v/>
      </c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8" t="str">
        <f>IF(AND(ISNUMBER(A161),COUNT(D161:F161)&gt;0),N(D161)+N(E161)+N(F161),"")</f>
        <v/>
      </c>
      <c r="M161" s="8" t="str">
        <f>IF(AND(ISNUMBER(L161),ISNUMBER($C$5),$C$5&gt;=0),ROUND(L161/(1+$C$5/100),2),"")</f>
        <v/>
      </c>
      <c r="N161" s="8" t="str">
        <f>IF(AND(ISNUMBER(A161),COUNT(C161:D161)&gt;0),N(C161)+N(D161)-N(G161)-N(H161),"")</f>
        <v/>
      </c>
      <c r="O161" s="8" t="str">
        <f>IF(AND(ISNUMBER(N161),ISNUMBER(I161)),ROUND(I161-N161,2),"")</f>
        <v/>
      </c>
      <c r="P161" s="9" t="str">
        <f>IF(ISNUMBER(O161),IF(AND(ISNUMBER($G$5),ABS(O161)&gt;$G$5),"Revisa el descuadre",IF(AND(ISNUMBER(J161),ISNUMBER(E161)),IF(ROUND(J161-E161,2)&lt;&gt;0,"El datáfono no cuadra con la tarjeta",""),"")),IF(AND(ISNUMBER(J161),ISNUMBER(E161)),IF(ROUND(J161-E161,2)&lt;&gt;0,"El datáfono no cuadra con la tarjeta",""),""))</f>
        <v/>
      </c>
      <c r="Q161" s="4" t="n"/>
    </row>
    <row r="162">
      <c r="A162" s="7" t="n"/>
      <c r="B162" t="str">
        <f>IF(ISNUMBER(A162),CHOOSE(WEEKDAY(A162,2),"lunes","martes","miércoles","jueves","viernes","sábado","domingo"),"")</f>
        <v/>
      </c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8" t="str">
        <f>IF(AND(ISNUMBER(A162),COUNT(D162:F162)&gt;0),N(D162)+N(E162)+N(F162),"")</f>
        <v/>
      </c>
      <c r="M162" s="8" t="str">
        <f>IF(AND(ISNUMBER(L162),ISNUMBER($C$5),$C$5&gt;=0),ROUND(L162/(1+$C$5/100),2),"")</f>
        <v/>
      </c>
      <c r="N162" s="8" t="str">
        <f>IF(AND(ISNUMBER(A162),COUNT(C162:D162)&gt;0),N(C162)+N(D162)-N(G162)-N(H162),"")</f>
        <v/>
      </c>
      <c r="O162" s="8" t="str">
        <f>IF(AND(ISNUMBER(N162),ISNUMBER(I162)),ROUND(I162-N162,2),"")</f>
        <v/>
      </c>
      <c r="P162" s="9" t="str">
        <f>IF(ISNUMBER(O162),IF(AND(ISNUMBER($G$5),ABS(O162)&gt;$G$5),"Revisa el descuadre",IF(AND(ISNUMBER(J162),ISNUMBER(E162)),IF(ROUND(J162-E162,2)&lt;&gt;0,"El datáfono no cuadra con la tarjeta",""),"")),IF(AND(ISNUMBER(J162),ISNUMBER(E162)),IF(ROUND(J162-E162,2)&lt;&gt;0,"El datáfono no cuadra con la tarjeta",""),""))</f>
        <v/>
      </c>
      <c r="Q162" s="4" t="n"/>
    </row>
    <row r="163">
      <c r="A163" s="7" t="n"/>
      <c r="B163" t="str">
        <f>IF(ISNUMBER(A163),CHOOSE(WEEKDAY(A163,2),"lunes","martes","miércoles","jueves","viernes","sábado","domingo"),"")</f>
        <v/>
      </c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8" t="str">
        <f>IF(AND(ISNUMBER(A163),COUNT(D163:F163)&gt;0),N(D163)+N(E163)+N(F163),"")</f>
        <v/>
      </c>
      <c r="M163" s="8" t="str">
        <f>IF(AND(ISNUMBER(L163),ISNUMBER($C$5),$C$5&gt;=0),ROUND(L163/(1+$C$5/100),2),"")</f>
        <v/>
      </c>
      <c r="N163" s="8" t="str">
        <f>IF(AND(ISNUMBER(A163),COUNT(C163:D163)&gt;0),N(C163)+N(D163)-N(G163)-N(H163),"")</f>
        <v/>
      </c>
      <c r="O163" s="8" t="str">
        <f>IF(AND(ISNUMBER(N163),ISNUMBER(I163)),ROUND(I163-N163,2),"")</f>
        <v/>
      </c>
      <c r="P163" s="9" t="str">
        <f>IF(ISNUMBER(O163),IF(AND(ISNUMBER($G$5),ABS(O163)&gt;$G$5),"Revisa el descuadre",IF(AND(ISNUMBER(J163),ISNUMBER(E163)),IF(ROUND(J163-E163,2)&lt;&gt;0,"El datáfono no cuadra con la tarjeta",""),"")),IF(AND(ISNUMBER(J163),ISNUMBER(E163)),IF(ROUND(J163-E163,2)&lt;&gt;0,"El datáfono no cuadra con la tarjeta",""),""))</f>
        <v/>
      </c>
      <c r="Q163" s="4" t="n"/>
    </row>
    <row r="164">
      <c r="A164" s="7" t="n"/>
      <c r="B164" t="str">
        <f>IF(ISNUMBER(A164),CHOOSE(WEEKDAY(A164,2),"lunes","martes","miércoles","jueves","viernes","sábado","domingo"),"")</f>
        <v/>
      </c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8" t="str">
        <f>IF(AND(ISNUMBER(A164),COUNT(D164:F164)&gt;0),N(D164)+N(E164)+N(F164),"")</f>
        <v/>
      </c>
      <c r="M164" s="8" t="str">
        <f>IF(AND(ISNUMBER(L164),ISNUMBER($C$5),$C$5&gt;=0),ROUND(L164/(1+$C$5/100),2),"")</f>
        <v/>
      </c>
      <c r="N164" s="8" t="str">
        <f>IF(AND(ISNUMBER(A164),COUNT(C164:D164)&gt;0),N(C164)+N(D164)-N(G164)-N(H164),"")</f>
        <v/>
      </c>
      <c r="O164" s="8" t="str">
        <f>IF(AND(ISNUMBER(N164),ISNUMBER(I164)),ROUND(I164-N164,2),"")</f>
        <v/>
      </c>
      <c r="P164" s="9" t="str">
        <f>IF(ISNUMBER(O164),IF(AND(ISNUMBER($G$5),ABS(O164)&gt;$G$5),"Revisa el descuadre",IF(AND(ISNUMBER(J164),ISNUMBER(E164)),IF(ROUND(J164-E164,2)&lt;&gt;0,"El datáfono no cuadra con la tarjeta",""),"")),IF(AND(ISNUMBER(J164),ISNUMBER(E164)),IF(ROUND(J164-E164,2)&lt;&gt;0,"El datáfono no cuadra con la tarjeta",""),""))</f>
        <v/>
      </c>
      <c r="Q164" s="4" t="n"/>
    </row>
    <row r="165">
      <c r="A165" s="7" t="n"/>
      <c r="B165" t="str">
        <f>IF(ISNUMBER(A165),CHOOSE(WEEKDAY(A165,2),"lunes","martes","miércoles","jueves","viernes","sábado","domingo"),"")</f>
        <v/>
      </c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8" t="str">
        <f>IF(AND(ISNUMBER(A165),COUNT(D165:F165)&gt;0),N(D165)+N(E165)+N(F165),"")</f>
        <v/>
      </c>
      <c r="M165" s="8" t="str">
        <f>IF(AND(ISNUMBER(L165),ISNUMBER($C$5),$C$5&gt;=0),ROUND(L165/(1+$C$5/100),2),"")</f>
        <v/>
      </c>
      <c r="N165" s="8" t="str">
        <f>IF(AND(ISNUMBER(A165),COUNT(C165:D165)&gt;0),N(C165)+N(D165)-N(G165)-N(H165),"")</f>
        <v/>
      </c>
      <c r="O165" s="8" t="str">
        <f>IF(AND(ISNUMBER(N165),ISNUMBER(I165)),ROUND(I165-N165,2),"")</f>
        <v/>
      </c>
      <c r="P165" s="9" t="str">
        <f>IF(ISNUMBER(O165),IF(AND(ISNUMBER($G$5),ABS(O165)&gt;$G$5),"Revisa el descuadre",IF(AND(ISNUMBER(J165),ISNUMBER(E165)),IF(ROUND(J165-E165,2)&lt;&gt;0,"El datáfono no cuadra con la tarjeta",""),"")),IF(AND(ISNUMBER(J165),ISNUMBER(E165)),IF(ROUND(J165-E165,2)&lt;&gt;0,"El datáfono no cuadra con la tarjeta",""),""))</f>
        <v/>
      </c>
      <c r="Q165" s="4" t="n"/>
    </row>
    <row r="166">
      <c r="A166" s="7" t="n"/>
      <c r="B166" t="str">
        <f>IF(ISNUMBER(A166),CHOOSE(WEEKDAY(A166,2),"lunes","martes","miércoles","jueves","viernes","sábado","domingo"),"")</f>
        <v/>
      </c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8" t="str">
        <f>IF(AND(ISNUMBER(A166),COUNT(D166:F166)&gt;0),N(D166)+N(E166)+N(F166),"")</f>
        <v/>
      </c>
      <c r="M166" s="8" t="str">
        <f>IF(AND(ISNUMBER(L166),ISNUMBER($C$5),$C$5&gt;=0),ROUND(L166/(1+$C$5/100),2),"")</f>
        <v/>
      </c>
      <c r="N166" s="8" t="str">
        <f>IF(AND(ISNUMBER(A166),COUNT(C166:D166)&gt;0),N(C166)+N(D166)-N(G166)-N(H166),"")</f>
        <v/>
      </c>
      <c r="O166" s="8" t="str">
        <f>IF(AND(ISNUMBER(N166),ISNUMBER(I166)),ROUND(I166-N166,2),"")</f>
        <v/>
      </c>
      <c r="P166" s="9" t="str">
        <f>IF(ISNUMBER(O166),IF(AND(ISNUMBER($G$5),ABS(O166)&gt;$G$5),"Revisa el descuadre",IF(AND(ISNUMBER(J166),ISNUMBER(E166)),IF(ROUND(J166-E166,2)&lt;&gt;0,"El datáfono no cuadra con la tarjeta",""),"")),IF(AND(ISNUMBER(J166),ISNUMBER(E166)),IF(ROUND(J166-E166,2)&lt;&gt;0,"El datáfono no cuadra con la tarjeta",""),""))</f>
        <v/>
      </c>
      <c r="Q166" s="4" t="n"/>
    </row>
    <row r="167">
      <c r="A167" s="7" t="n"/>
      <c r="B167" t="str">
        <f>IF(ISNUMBER(A167),CHOOSE(WEEKDAY(A167,2),"lunes","martes","miércoles","jueves","viernes","sábado","domingo"),"")</f>
        <v/>
      </c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8" t="str">
        <f>IF(AND(ISNUMBER(A167),COUNT(D167:F167)&gt;0),N(D167)+N(E167)+N(F167),"")</f>
        <v/>
      </c>
      <c r="M167" s="8" t="str">
        <f>IF(AND(ISNUMBER(L167),ISNUMBER($C$5),$C$5&gt;=0),ROUND(L167/(1+$C$5/100),2),"")</f>
        <v/>
      </c>
      <c r="N167" s="8" t="str">
        <f>IF(AND(ISNUMBER(A167),COUNT(C167:D167)&gt;0),N(C167)+N(D167)-N(G167)-N(H167),"")</f>
        <v/>
      </c>
      <c r="O167" s="8" t="str">
        <f>IF(AND(ISNUMBER(N167),ISNUMBER(I167)),ROUND(I167-N167,2),"")</f>
        <v/>
      </c>
      <c r="P167" s="9" t="str">
        <f>IF(ISNUMBER(O167),IF(AND(ISNUMBER($G$5),ABS(O167)&gt;$G$5),"Revisa el descuadre",IF(AND(ISNUMBER(J167),ISNUMBER(E167)),IF(ROUND(J167-E167,2)&lt;&gt;0,"El datáfono no cuadra con la tarjeta",""),"")),IF(AND(ISNUMBER(J167),ISNUMBER(E167)),IF(ROUND(J167-E167,2)&lt;&gt;0,"El datáfono no cuadra con la tarjeta",""),""))</f>
        <v/>
      </c>
      <c r="Q167" s="4" t="n"/>
    </row>
    <row r="168">
      <c r="A168" s="7" t="n"/>
      <c r="B168" t="str">
        <f>IF(ISNUMBER(A168),CHOOSE(WEEKDAY(A168,2),"lunes","martes","miércoles","jueves","viernes","sábado","domingo"),"")</f>
        <v/>
      </c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8" t="str">
        <f>IF(AND(ISNUMBER(A168),COUNT(D168:F168)&gt;0),N(D168)+N(E168)+N(F168),"")</f>
        <v/>
      </c>
      <c r="M168" s="8" t="str">
        <f>IF(AND(ISNUMBER(L168),ISNUMBER($C$5),$C$5&gt;=0),ROUND(L168/(1+$C$5/100),2),"")</f>
        <v/>
      </c>
      <c r="N168" s="8" t="str">
        <f>IF(AND(ISNUMBER(A168),COUNT(C168:D168)&gt;0),N(C168)+N(D168)-N(G168)-N(H168),"")</f>
        <v/>
      </c>
      <c r="O168" s="8" t="str">
        <f>IF(AND(ISNUMBER(N168),ISNUMBER(I168)),ROUND(I168-N168,2),"")</f>
        <v/>
      </c>
      <c r="P168" s="9" t="str">
        <f>IF(ISNUMBER(O168),IF(AND(ISNUMBER($G$5),ABS(O168)&gt;$G$5),"Revisa el descuadre",IF(AND(ISNUMBER(J168),ISNUMBER(E168)),IF(ROUND(J168-E168,2)&lt;&gt;0,"El datáfono no cuadra con la tarjeta",""),"")),IF(AND(ISNUMBER(J168),ISNUMBER(E168)),IF(ROUND(J168-E168,2)&lt;&gt;0,"El datáfono no cuadra con la tarjeta",""),""))</f>
        <v/>
      </c>
      <c r="Q168" s="4" t="n"/>
    </row>
    <row r="169">
      <c r="A169" s="7" t="n"/>
      <c r="B169" t="str">
        <f>IF(ISNUMBER(A169),CHOOSE(WEEKDAY(A169,2),"lunes","martes","miércoles","jueves","viernes","sábado","domingo"),"")</f>
        <v/>
      </c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8" t="str">
        <f>IF(AND(ISNUMBER(A169),COUNT(D169:F169)&gt;0),N(D169)+N(E169)+N(F169),"")</f>
        <v/>
      </c>
      <c r="M169" s="8" t="str">
        <f>IF(AND(ISNUMBER(L169),ISNUMBER($C$5),$C$5&gt;=0),ROUND(L169/(1+$C$5/100),2),"")</f>
        <v/>
      </c>
      <c r="N169" s="8" t="str">
        <f>IF(AND(ISNUMBER(A169),COUNT(C169:D169)&gt;0),N(C169)+N(D169)-N(G169)-N(H169),"")</f>
        <v/>
      </c>
      <c r="O169" s="8" t="str">
        <f>IF(AND(ISNUMBER(N169),ISNUMBER(I169)),ROUND(I169-N169,2),"")</f>
        <v/>
      </c>
      <c r="P169" s="9" t="str">
        <f>IF(ISNUMBER(O169),IF(AND(ISNUMBER($G$5),ABS(O169)&gt;$G$5),"Revisa el descuadre",IF(AND(ISNUMBER(J169),ISNUMBER(E169)),IF(ROUND(J169-E169,2)&lt;&gt;0,"El datáfono no cuadra con la tarjeta",""),"")),IF(AND(ISNUMBER(J169),ISNUMBER(E169)),IF(ROUND(J169-E169,2)&lt;&gt;0,"El datáfono no cuadra con la tarjeta",""),""))</f>
        <v/>
      </c>
      <c r="Q169" s="4" t="n"/>
    </row>
    <row r="170">
      <c r="A170" s="7" t="n"/>
      <c r="B170" t="str">
        <f>IF(ISNUMBER(A170),CHOOSE(WEEKDAY(A170,2),"lunes","martes","miércoles","jueves","viernes","sábado","domingo"),"")</f>
        <v/>
      </c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8" t="str">
        <f>IF(AND(ISNUMBER(A170),COUNT(D170:F170)&gt;0),N(D170)+N(E170)+N(F170),"")</f>
        <v/>
      </c>
      <c r="M170" s="8" t="str">
        <f>IF(AND(ISNUMBER(L170),ISNUMBER($C$5),$C$5&gt;=0),ROUND(L170/(1+$C$5/100),2),"")</f>
        <v/>
      </c>
      <c r="N170" s="8" t="str">
        <f>IF(AND(ISNUMBER(A170),COUNT(C170:D170)&gt;0),N(C170)+N(D170)-N(G170)-N(H170),"")</f>
        <v/>
      </c>
      <c r="O170" s="8" t="str">
        <f>IF(AND(ISNUMBER(N170),ISNUMBER(I170)),ROUND(I170-N170,2),"")</f>
        <v/>
      </c>
      <c r="P170" s="9" t="str">
        <f>IF(ISNUMBER(O170),IF(AND(ISNUMBER($G$5),ABS(O170)&gt;$G$5),"Revisa el descuadre",IF(AND(ISNUMBER(J170),ISNUMBER(E170)),IF(ROUND(J170-E170,2)&lt;&gt;0,"El datáfono no cuadra con la tarjeta",""),"")),IF(AND(ISNUMBER(J170),ISNUMBER(E170)),IF(ROUND(J170-E170,2)&lt;&gt;0,"El datáfono no cuadra con la tarjeta",""),""))</f>
        <v/>
      </c>
      <c r="Q170" s="4" t="n"/>
    </row>
    <row r="171">
      <c r="A171" s="7" t="n"/>
      <c r="B171" t="str">
        <f>IF(ISNUMBER(A171),CHOOSE(WEEKDAY(A171,2),"lunes","martes","miércoles","jueves","viernes","sábado","domingo"),"")</f>
        <v/>
      </c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8" t="str">
        <f>IF(AND(ISNUMBER(A171),COUNT(D171:F171)&gt;0),N(D171)+N(E171)+N(F171),"")</f>
        <v/>
      </c>
      <c r="M171" s="8" t="str">
        <f>IF(AND(ISNUMBER(L171),ISNUMBER($C$5),$C$5&gt;=0),ROUND(L171/(1+$C$5/100),2),"")</f>
        <v/>
      </c>
      <c r="N171" s="8" t="str">
        <f>IF(AND(ISNUMBER(A171),COUNT(C171:D171)&gt;0),N(C171)+N(D171)-N(G171)-N(H171),"")</f>
        <v/>
      </c>
      <c r="O171" s="8" t="str">
        <f>IF(AND(ISNUMBER(N171),ISNUMBER(I171)),ROUND(I171-N171,2),"")</f>
        <v/>
      </c>
      <c r="P171" s="9" t="str">
        <f>IF(ISNUMBER(O171),IF(AND(ISNUMBER($G$5),ABS(O171)&gt;$G$5),"Revisa el descuadre",IF(AND(ISNUMBER(J171),ISNUMBER(E171)),IF(ROUND(J171-E171,2)&lt;&gt;0,"El datáfono no cuadra con la tarjeta",""),"")),IF(AND(ISNUMBER(J171),ISNUMBER(E171)),IF(ROUND(J171-E171,2)&lt;&gt;0,"El datáfono no cuadra con la tarjeta",""),""))</f>
        <v/>
      </c>
      <c r="Q171" s="4" t="n"/>
    </row>
    <row r="172">
      <c r="A172" s="7" t="n"/>
      <c r="B172" t="str">
        <f>IF(ISNUMBER(A172),CHOOSE(WEEKDAY(A172,2),"lunes","martes","miércoles","jueves","viernes","sábado","domingo"),"")</f>
        <v/>
      </c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8" t="str">
        <f>IF(AND(ISNUMBER(A172),COUNT(D172:F172)&gt;0),N(D172)+N(E172)+N(F172),"")</f>
        <v/>
      </c>
      <c r="M172" s="8" t="str">
        <f>IF(AND(ISNUMBER(L172),ISNUMBER($C$5),$C$5&gt;=0),ROUND(L172/(1+$C$5/100),2),"")</f>
        <v/>
      </c>
      <c r="N172" s="8" t="str">
        <f>IF(AND(ISNUMBER(A172),COUNT(C172:D172)&gt;0),N(C172)+N(D172)-N(G172)-N(H172),"")</f>
        <v/>
      </c>
      <c r="O172" s="8" t="str">
        <f>IF(AND(ISNUMBER(N172),ISNUMBER(I172)),ROUND(I172-N172,2),"")</f>
        <v/>
      </c>
      <c r="P172" s="9" t="str">
        <f>IF(ISNUMBER(O172),IF(AND(ISNUMBER($G$5),ABS(O172)&gt;$G$5),"Revisa el descuadre",IF(AND(ISNUMBER(J172),ISNUMBER(E172)),IF(ROUND(J172-E172,2)&lt;&gt;0,"El datáfono no cuadra con la tarjeta",""),"")),IF(AND(ISNUMBER(J172),ISNUMBER(E172)),IF(ROUND(J172-E172,2)&lt;&gt;0,"El datáfono no cuadra con la tarjeta",""),""))</f>
        <v/>
      </c>
      <c r="Q172" s="4" t="n"/>
    </row>
    <row r="173">
      <c r="A173" s="7" t="n"/>
      <c r="B173" t="str">
        <f>IF(ISNUMBER(A173),CHOOSE(WEEKDAY(A173,2),"lunes","martes","miércoles","jueves","viernes","sábado","domingo"),"")</f>
        <v/>
      </c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8" t="str">
        <f>IF(AND(ISNUMBER(A173),COUNT(D173:F173)&gt;0),N(D173)+N(E173)+N(F173),"")</f>
        <v/>
      </c>
      <c r="M173" s="8" t="str">
        <f>IF(AND(ISNUMBER(L173),ISNUMBER($C$5),$C$5&gt;=0),ROUND(L173/(1+$C$5/100),2),"")</f>
        <v/>
      </c>
      <c r="N173" s="8" t="str">
        <f>IF(AND(ISNUMBER(A173),COUNT(C173:D173)&gt;0),N(C173)+N(D173)-N(G173)-N(H173),"")</f>
        <v/>
      </c>
      <c r="O173" s="8" t="str">
        <f>IF(AND(ISNUMBER(N173),ISNUMBER(I173)),ROUND(I173-N173,2),"")</f>
        <v/>
      </c>
      <c r="P173" s="9" t="str">
        <f>IF(ISNUMBER(O173),IF(AND(ISNUMBER($G$5),ABS(O173)&gt;$G$5),"Revisa el descuadre",IF(AND(ISNUMBER(J173),ISNUMBER(E173)),IF(ROUND(J173-E173,2)&lt;&gt;0,"El datáfono no cuadra con la tarjeta",""),"")),IF(AND(ISNUMBER(J173),ISNUMBER(E173)),IF(ROUND(J173-E173,2)&lt;&gt;0,"El datáfono no cuadra con la tarjeta",""),""))</f>
        <v/>
      </c>
      <c r="Q173" s="4" t="n"/>
    </row>
    <row r="174">
      <c r="A174" s="7" t="n"/>
      <c r="B174" t="str">
        <f>IF(ISNUMBER(A174),CHOOSE(WEEKDAY(A174,2),"lunes","martes","miércoles","jueves","viernes","sábado","domingo"),"")</f>
        <v/>
      </c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8" t="str">
        <f>IF(AND(ISNUMBER(A174),COUNT(D174:F174)&gt;0),N(D174)+N(E174)+N(F174),"")</f>
        <v/>
      </c>
      <c r="M174" s="8" t="str">
        <f>IF(AND(ISNUMBER(L174),ISNUMBER($C$5),$C$5&gt;=0),ROUND(L174/(1+$C$5/100),2),"")</f>
        <v/>
      </c>
      <c r="N174" s="8" t="str">
        <f>IF(AND(ISNUMBER(A174),COUNT(C174:D174)&gt;0),N(C174)+N(D174)-N(G174)-N(H174),"")</f>
        <v/>
      </c>
      <c r="O174" s="8" t="str">
        <f>IF(AND(ISNUMBER(N174),ISNUMBER(I174)),ROUND(I174-N174,2),"")</f>
        <v/>
      </c>
      <c r="P174" s="9" t="str">
        <f>IF(ISNUMBER(O174),IF(AND(ISNUMBER($G$5),ABS(O174)&gt;$G$5),"Revisa el descuadre",IF(AND(ISNUMBER(J174),ISNUMBER(E174)),IF(ROUND(J174-E174,2)&lt;&gt;0,"El datáfono no cuadra con la tarjeta",""),"")),IF(AND(ISNUMBER(J174),ISNUMBER(E174)),IF(ROUND(J174-E174,2)&lt;&gt;0,"El datáfono no cuadra con la tarjeta",""),""))</f>
        <v/>
      </c>
      <c r="Q174" s="4" t="n"/>
    </row>
    <row r="175">
      <c r="A175" s="7" t="n"/>
      <c r="B175" t="str">
        <f>IF(ISNUMBER(A175),CHOOSE(WEEKDAY(A175,2),"lunes","martes","miércoles","jueves","viernes","sábado","domingo"),"")</f>
        <v/>
      </c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8" t="str">
        <f>IF(AND(ISNUMBER(A175),COUNT(D175:F175)&gt;0),N(D175)+N(E175)+N(F175),"")</f>
        <v/>
      </c>
      <c r="M175" s="8" t="str">
        <f>IF(AND(ISNUMBER(L175),ISNUMBER($C$5),$C$5&gt;=0),ROUND(L175/(1+$C$5/100),2),"")</f>
        <v/>
      </c>
      <c r="N175" s="8" t="str">
        <f>IF(AND(ISNUMBER(A175),COUNT(C175:D175)&gt;0),N(C175)+N(D175)-N(G175)-N(H175),"")</f>
        <v/>
      </c>
      <c r="O175" s="8" t="str">
        <f>IF(AND(ISNUMBER(N175),ISNUMBER(I175)),ROUND(I175-N175,2),"")</f>
        <v/>
      </c>
      <c r="P175" s="9" t="str">
        <f>IF(ISNUMBER(O175),IF(AND(ISNUMBER($G$5),ABS(O175)&gt;$G$5),"Revisa el descuadre",IF(AND(ISNUMBER(J175),ISNUMBER(E175)),IF(ROUND(J175-E175,2)&lt;&gt;0,"El datáfono no cuadra con la tarjeta",""),"")),IF(AND(ISNUMBER(J175),ISNUMBER(E175)),IF(ROUND(J175-E175,2)&lt;&gt;0,"El datáfono no cuadra con la tarjeta",""),""))</f>
        <v/>
      </c>
      <c r="Q175" s="4" t="n"/>
    </row>
    <row r="176">
      <c r="A176" s="7" t="n"/>
      <c r="B176" t="str">
        <f>IF(ISNUMBER(A176),CHOOSE(WEEKDAY(A176,2),"lunes","martes","miércoles","jueves","viernes","sábado","domingo"),"")</f>
        <v/>
      </c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8" t="str">
        <f>IF(AND(ISNUMBER(A176),COUNT(D176:F176)&gt;0),N(D176)+N(E176)+N(F176),"")</f>
        <v/>
      </c>
      <c r="M176" s="8" t="str">
        <f>IF(AND(ISNUMBER(L176),ISNUMBER($C$5),$C$5&gt;=0),ROUND(L176/(1+$C$5/100),2),"")</f>
        <v/>
      </c>
      <c r="N176" s="8" t="str">
        <f>IF(AND(ISNUMBER(A176),COUNT(C176:D176)&gt;0),N(C176)+N(D176)-N(G176)-N(H176),"")</f>
        <v/>
      </c>
      <c r="O176" s="8" t="str">
        <f>IF(AND(ISNUMBER(N176),ISNUMBER(I176)),ROUND(I176-N176,2),"")</f>
        <v/>
      </c>
      <c r="P176" s="9" t="str">
        <f>IF(ISNUMBER(O176),IF(AND(ISNUMBER($G$5),ABS(O176)&gt;$G$5),"Revisa el descuadre",IF(AND(ISNUMBER(J176),ISNUMBER(E176)),IF(ROUND(J176-E176,2)&lt;&gt;0,"El datáfono no cuadra con la tarjeta",""),"")),IF(AND(ISNUMBER(J176),ISNUMBER(E176)),IF(ROUND(J176-E176,2)&lt;&gt;0,"El datáfono no cuadra con la tarjeta",""),""))</f>
        <v/>
      </c>
      <c r="Q176" s="4" t="n"/>
    </row>
    <row r="177">
      <c r="A177" s="7" t="n"/>
      <c r="B177" t="str">
        <f>IF(ISNUMBER(A177),CHOOSE(WEEKDAY(A177,2),"lunes","martes","miércoles","jueves","viernes","sábado","domingo"),"")</f>
        <v/>
      </c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8" t="str">
        <f>IF(AND(ISNUMBER(A177),COUNT(D177:F177)&gt;0),N(D177)+N(E177)+N(F177),"")</f>
        <v/>
      </c>
      <c r="M177" s="8" t="str">
        <f>IF(AND(ISNUMBER(L177),ISNUMBER($C$5),$C$5&gt;=0),ROUND(L177/(1+$C$5/100),2),"")</f>
        <v/>
      </c>
      <c r="N177" s="8" t="str">
        <f>IF(AND(ISNUMBER(A177),COUNT(C177:D177)&gt;0),N(C177)+N(D177)-N(G177)-N(H177),"")</f>
        <v/>
      </c>
      <c r="O177" s="8" t="str">
        <f>IF(AND(ISNUMBER(N177),ISNUMBER(I177)),ROUND(I177-N177,2),"")</f>
        <v/>
      </c>
      <c r="P177" s="9" t="str">
        <f>IF(ISNUMBER(O177),IF(AND(ISNUMBER($G$5),ABS(O177)&gt;$G$5),"Revisa el descuadre",IF(AND(ISNUMBER(J177),ISNUMBER(E177)),IF(ROUND(J177-E177,2)&lt;&gt;0,"El datáfono no cuadra con la tarjeta",""),"")),IF(AND(ISNUMBER(J177),ISNUMBER(E177)),IF(ROUND(J177-E177,2)&lt;&gt;0,"El datáfono no cuadra con la tarjeta",""),""))</f>
        <v/>
      </c>
      <c r="Q177" s="4" t="n"/>
    </row>
    <row r="178">
      <c r="A178" s="7" t="n"/>
      <c r="B178" t="str">
        <f>IF(ISNUMBER(A178),CHOOSE(WEEKDAY(A178,2),"lunes","martes","miércoles","jueves","viernes","sábado","domingo"),"")</f>
        <v/>
      </c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8" t="str">
        <f>IF(AND(ISNUMBER(A178),COUNT(D178:F178)&gt;0),N(D178)+N(E178)+N(F178),"")</f>
        <v/>
      </c>
      <c r="M178" s="8" t="str">
        <f>IF(AND(ISNUMBER(L178),ISNUMBER($C$5),$C$5&gt;=0),ROUND(L178/(1+$C$5/100),2),"")</f>
        <v/>
      </c>
      <c r="N178" s="8" t="str">
        <f>IF(AND(ISNUMBER(A178),COUNT(C178:D178)&gt;0),N(C178)+N(D178)-N(G178)-N(H178),"")</f>
        <v/>
      </c>
      <c r="O178" s="8" t="str">
        <f>IF(AND(ISNUMBER(N178),ISNUMBER(I178)),ROUND(I178-N178,2),"")</f>
        <v/>
      </c>
      <c r="P178" s="9" t="str">
        <f>IF(ISNUMBER(O178),IF(AND(ISNUMBER($G$5),ABS(O178)&gt;$G$5),"Revisa el descuadre",IF(AND(ISNUMBER(J178),ISNUMBER(E178)),IF(ROUND(J178-E178,2)&lt;&gt;0,"El datáfono no cuadra con la tarjeta",""),"")),IF(AND(ISNUMBER(J178),ISNUMBER(E178)),IF(ROUND(J178-E178,2)&lt;&gt;0,"El datáfono no cuadra con la tarjeta",""),""))</f>
        <v/>
      </c>
      <c r="Q178" s="4" t="n"/>
    </row>
    <row r="179">
      <c r="A179" s="7" t="n"/>
      <c r="B179" t="str">
        <f>IF(ISNUMBER(A179),CHOOSE(WEEKDAY(A179,2),"lunes","martes","miércoles","jueves","viernes","sábado","domingo"),"")</f>
        <v/>
      </c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8" t="str">
        <f>IF(AND(ISNUMBER(A179),COUNT(D179:F179)&gt;0),N(D179)+N(E179)+N(F179),"")</f>
        <v/>
      </c>
      <c r="M179" s="8" t="str">
        <f>IF(AND(ISNUMBER(L179),ISNUMBER($C$5),$C$5&gt;=0),ROUND(L179/(1+$C$5/100),2),"")</f>
        <v/>
      </c>
      <c r="N179" s="8" t="str">
        <f>IF(AND(ISNUMBER(A179),COUNT(C179:D179)&gt;0),N(C179)+N(D179)-N(G179)-N(H179),"")</f>
        <v/>
      </c>
      <c r="O179" s="8" t="str">
        <f>IF(AND(ISNUMBER(N179),ISNUMBER(I179)),ROUND(I179-N179,2),"")</f>
        <v/>
      </c>
      <c r="P179" s="9" t="str">
        <f>IF(ISNUMBER(O179),IF(AND(ISNUMBER($G$5),ABS(O179)&gt;$G$5),"Revisa el descuadre",IF(AND(ISNUMBER(J179),ISNUMBER(E179)),IF(ROUND(J179-E179,2)&lt;&gt;0,"El datáfono no cuadra con la tarjeta",""),"")),IF(AND(ISNUMBER(J179),ISNUMBER(E179)),IF(ROUND(J179-E179,2)&lt;&gt;0,"El datáfono no cuadra con la tarjeta",""),""))</f>
        <v/>
      </c>
      <c r="Q179" s="4" t="n"/>
    </row>
    <row r="180">
      <c r="A180" s="7" t="n"/>
      <c r="B180" t="str">
        <f>IF(ISNUMBER(A180),CHOOSE(WEEKDAY(A180,2),"lunes","martes","miércoles","jueves","viernes","sábado","domingo"),"")</f>
        <v/>
      </c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8" t="str">
        <f>IF(AND(ISNUMBER(A180),COUNT(D180:F180)&gt;0),N(D180)+N(E180)+N(F180),"")</f>
        <v/>
      </c>
      <c r="M180" s="8" t="str">
        <f>IF(AND(ISNUMBER(L180),ISNUMBER($C$5),$C$5&gt;=0),ROUND(L180/(1+$C$5/100),2),"")</f>
        <v/>
      </c>
      <c r="N180" s="8" t="str">
        <f>IF(AND(ISNUMBER(A180),COUNT(C180:D180)&gt;0),N(C180)+N(D180)-N(G180)-N(H180),"")</f>
        <v/>
      </c>
      <c r="O180" s="8" t="str">
        <f>IF(AND(ISNUMBER(N180),ISNUMBER(I180)),ROUND(I180-N180,2),"")</f>
        <v/>
      </c>
      <c r="P180" s="9" t="str">
        <f>IF(ISNUMBER(O180),IF(AND(ISNUMBER($G$5),ABS(O180)&gt;$G$5),"Revisa el descuadre",IF(AND(ISNUMBER(J180),ISNUMBER(E180)),IF(ROUND(J180-E180,2)&lt;&gt;0,"El datáfono no cuadra con la tarjeta",""),"")),IF(AND(ISNUMBER(J180),ISNUMBER(E180)),IF(ROUND(J180-E180,2)&lt;&gt;0,"El datáfono no cuadra con la tarjeta",""),""))</f>
        <v/>
      </c>
      <c r="Q180" s="4" t="n"/>
    </row>
    <row r="181">
      <c r="A181" s="7" t="n"/>
      <c r="B181" t="str">
        <f>IF(ISNUMBER(A181),CHOOSE(WEEKDAY(A181,2),"lunes","martes","miércoles","jueves","viernes","sábado","domingo"),"")</f>
        <v/>
      </c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8" t="str">
        <f>IF(AND(ISNUMBER(A181),COUNT(D181:F181)&gt;0),N(D181)+N(E181)+N(F181),"")</f>
        <v/>
      </c>
      <c r="M181" s="8" t="str">
        <f>IF(AND(ISNUMBER(L181),ISNUMBER($C$5),$C$5&gt;=0),ROUND(L181/(1+$C$5/100),2),"")</f>
        <v/>
      </c>
      <c r="N181" s="8" t="str">
        <f>IF(AND(ISNUMBER(A181),COUNT(C181:D181)&gt;0),N(C181)+N(D181)-N(G181)-N(H181),"")</f>
        <v/>
      </c>
      <c r="O181" s="8" t="str">
        <f>IF(AND(ISNUMBER(N181),ISNUMBER(I181)),ROUND(I181-N181,2),"")</f>
        <v/>
      </c>
      <c r="P181" s="9" t="str">
        <f>IF(ISNUMBER(O181),IF(AND(ISNUMBER($G$5),ABS(O181)&gt;$G$5),"Revisa el descuadre",IF(AND(ISNUMBER(J181),ISNUMBER(E181)),IF(ROUND(J181-E181,2)&lt;&gt;0,"El datáfono no cuadra con la tarjeta",""),"")),IF(AND(ISNUMBER(J181),ISNUMBER(E181)),IF(ROUND(J181-E181,2)&lt;&gt;0,"El datáfono no cuadra con la tarjeta",""),""))</f>
        <v/>
      </c>
      <c r="Q181" s="4" t="n"/>
    </row>
    <row r="182">
      <c r="A182" s="7" t="n"/>
      <c r="B182" t="str">
        <f>IF(ISNUMBER(A182),CHOOSE(WEEKDAY(A182,2),"lunes","martes","miércoles","jueves","viernes","sábado","domingo"),"")</f>
        <v/>
      </c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8" t="str">
        <f>IF(AND(ISNUMBER(A182),COUNT(D182:F182)&gt;0),N(D182)+N(E182)+N(F182),"")</f>
        <v/>
      </c>
      <c r="M182" s="8" t="str">
        <f>IF(AND(ISNUMBER(L182),ISNUMBER($C$5),$C$5&gt;=0),ROUND(L182/(1+$C$5/100),2),"")</f>
        <v/>
      </c>
      <c r="N182" s="8" t="str">
        <f>IF(AND(ISNUMBER(A182),COUNT(C182:D182)&gt;0),N(C182)+N(D182)-N(G182)-N(H182),"")</f>
        <v/>
      </c>
      <c r="O182" s="8" t="str">
        <f>IF(AND(ISNUMBER(N182),ISNUMBER(I182)),ROUND(I182-N182,2),"")</f>
        <v/>
      </c>
      <c r="P182" s="9" t="str">
        <f>IF(ISNUMBER(O182),IF(AND(ISNUMBER($G$5),ABS(O182)&gt;$G$5),"Revisa el descuadre",IF(AND(ISNUMBER(J182),ISNUMBER(E182)),IF(ROUND(J182-E182,2)&lt;&gt;0,"El datáfono no cuadra con la tarjeta",""),"")),IF(AND(ISNUMBER(J182),ISNUMBER(E182)),IF(ROUND(J182-E182,2)&lt;&gt;0,"El datáfono no cuadra con la tarjeta",""),""))</f>
        <v/>
      </c>
      <c r="Q182" s="4" t="n"/>
    </row>
    <row r="183">
      <c r="A183" s="7" t="n"/>
      <c r="B183" t="str">
        <f>IF(ISNUMBER(A183),CHOOSE(WEEKDAY(A183,2),"lunes","martes","miércoles","jueves","viernes","sábado","domingo"),"")</f>
        <v/>
      </c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8" t="str">
        <f>IF(AND(ISNUMBER(A183),COUNT(D183:F183)&gt;0),N(D183)+N(E183)+N(F183),"")</f>
        <v/>
      </c>
      <c r="M183" s="8" t="str">
        <f>IF(AND(ISNUMBER(L183),ISNUMBER($C$5),$C$5&gt;=0),ROUND(L183/(1+$C$5/100),2),"")</f>
        <v/>
      </c>
      <c r="N183" s="8" t="str">
        <f>IF(AND(ISNUMBER(A183),COUNT(C183:D183)&gt;0),N(C183)+N(D183)-N(G183)-N(H183),"")</f>
        <v/>
      </c>
      <c r="O183" s="8" t="str">
        <f>IF(AND(ISNUMBER(N183),ISNUMBER(I183)),ROUND(I183-N183,2),"")</f>
        <v/>
      </c>
      <c r="P183" s="9" t="str">
        <f>IF(ISNUMBER(O183),IF(AND(ISNUMBER($G$5),ABS(O183)&gt;$G$5),"Revisa el descuadre",IF(AND(ISNUMBER(J183),ISNUMBER(E183)),IF(ROUND(J183-E183,2)&lt;&gt;0,"El datáfono no cuadra con la tarjeta",""),"")),IF(AND(ISNUMBER(J183),ISNUMBER(E183)),IF(ROUND(J183-E183,2)&lt;&gt;0,"El datáfono no cuadra con la tarjeta",""),""))</f>
        <v/>
      </c>
      <c r="Q183" s="4" t="n"/>
    </row>
    <row r="184">
      <c r="A184" s="7" t="n"/>
      <c r="B184" t="str">
        <f>IF(ISNUMBER(A184),CHOOSE(WEEKDAY(A184,2),"lunes","martes","miércoles","jueves","viernes","sábado","domingo"),"")</f>
        <v/>
      </c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8" t="str">
        <f>IF(AND(ISNUMBER(A184),COUNT(D184:F184)&gt;0),N(D184)+N(E184)+N(F184),"")</f>
        <v/>
      </c>
      <c r="M184" s="8" t="str">
        <f>IF(AND(ISNUMBER(L184),ISNUMBER($C$5),$C$5&gt;=0),ROUND(L184/(1+$C$5/100),2),"")</f>
        <v/>
      </c>
      <c r="N184" s="8" t="str">
        <f>IF(AND(ISNUMBER(A184),COUNT(C184:D184)&gt;0),N(C184)+N(D184)-N(G184)-N(H184),"")</f>
        <v/>
      </c>
      <c r="O184" s="8" t="str">
        <f>IF(AND(ISNUMBER(N184),ISNUMBER(I184)),ROUND(I184-N184,2),"")</f>
        <v/>
      </c>
      <c r="P184" s="9" t="str">
        <f>IF(ISNUMBER(O184),IF(AND(ISNUMBER($G$5),ABS(O184)&gt;$G$5),"Revisa el descuadre",IF(AND(ISNUMBER(J184),ISNUMBER(E184)),IF(ROUND(J184-E184,2)&lt;&gt;0,"El datáfono no cuadra con la tarjeta",""),"")),IF(AND(ISNUMBER(J184),ISNUMBER(E184)),IF(ROUND(J184-E184,2)&lt;&gt;0,"El datáfono no cuadra con la tarjeta",""),""))</f>
        <v/>
      </c>
      <c r="Q184" s="4" t="n"/>
    </row>
    <row r="185">
      <c r="A185" s="7" t="n"/>
      <c r="B185" t="str">
        <f>IF(ISNUMBER(A185),CHOOSE(WEEKDAY(A185,2),"lunes","martes","miércoles","jueves","viernes","sábado","domingo"),"")</f>
        <v/>
      </c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8" t="str">
        <f>IF(AND(ISNUMBER(A185),COUNT(D185:F185)&gt;0),N(D185)+N(E185)+N(F185),"")</f>
        <v/>
      </c>
      <c r="M185" s="8" t="str">
        <f>IF(AND(ISNUMBER(L185),ISNUMBER($C$5),$C$5&gt;=0),ROUND(L185/(1+$C$5/100),2),"")</f>
        <v/>
      </c>
      <c r="N185" s="8" t="str">
        <f>IF(AND(ISNUMBER(A185),COUNT(C185:D185)&gt;0),N(C185)+N(D185)-N(G185)-N(H185),"")</f>
        <v/>
      </c>
      <c r="O185" s="8" t="str">
        <f>IF(AND(ISNUMBER(N185),ISNUMBER(I185)),ROUND(I185-N185,2),"")</f>
        <v/>
      </c>
      <c r="P185" s="9" t="str">
        <f>IF(ISNUMBER(O185),IF(AND(ISNUMBER($G$5),ABS(O185)&gt;$G$5),"Revisa el descuadre",IF(AND(ISNUMBER(J185),ISNUMBER(E185)),IF(ROUND(J185-E185,2)&lt;&gt;0,"El datáfono no cuadra con la tarjeta",""),"")),IF(AND(ISNUMBER(J185),ISNUMBER(E185)),IF(ROUND(J185-E185,2)&lt;&gt;0,"El datáfono no cuadra con la tarjeta",""),""))</f>
        <v/>
      </c>
      <c r="Q185" s="4" t="n"/>
    </row>
    <row r="186">
      <c r="A186" s="7" t="n"/>
      <c r="B186" t="str">
        <f>IF(ISNUMBER(A186),CHOOSE(WEEKDAY(A186,2),"lunes","martes","miércoles","jueves","viernes","sábado","domingo"),"")</f>
        <v/>
      </c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8" t="str">
        <f>IF(AND(ISNUMBER(A186),COUNT(D186:F186)&gt;0),N(D186)+N(E186)+N(F186),"")</f>
        <v/>
      </c>
      <c r="M186" s="8" t="str">
        <f>IF(AND(ISNUMBER(L186),ISNUMBER($C$5),$C$5&gt;=0),ROUND(L186/(1+$C$5/100),2),"")</f>
        <v/>
      </c>
      <c r="N186" s="8" t="str">
        <f>IF(AND(ISNUMBER(A186),COUNT(C186:D186)&gt;0),N(C186)+N(D186)-N(G186)-N(H186),"")</f>
        <v/>
      </c>
      <c r="O186" s="8" t="str">
        <f>IF(AND(ISNUMBER(N186),ISNUMBER(I186)),ROUND(I186-N186,2),"")</f>
        <v/>
      </c>
      <c r="P186" s="9" t="str">
        <f>IF(ISNUMBER(O186),IF(AND(ISNUMBER($G$5),ABS(O186)&gt;$G$5),"Revisa el descuadre",IF(AND(ISNUMBER(J186),ISNUMBER(E186)),IF(ROUND(J186-E186,2)&lt;&gt;0,"El datáfono no cuadra con la tarjeta",""),"")),IF(AND(ISNUMBER(J186),ISNUMBER(E186)),IF(ROUND(J186-E186,2)&lt;&gt;0,"El datáfono no cuadra con la tarjeta",""),""))</f>
        <v/>
      </c>
      <c r="Q186" s="4" t="n"/>
    </row>
    <row r="187">
      <c r="A187" s="7" t="n"/>
      <c r="B187" t="str">
        <f>IF(ISNUMBER(A187),CHOOSE(WEEKDAY(A187,2),"lunes","martes","miércoles","jueves","viernes","sábado","domingo"),"")</f>
        <v/>
      </c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8" t="str">
        <f>IF(AND(ISNUMBER(A187),COUNT(D187:F187)&gt;0),N(D187)+N(E187)+N(F187),"")</f>
        <v/>
      </c>
      <c r="M187" s="8" t="str">
        <f>IF(AND(ISNUMBER(L187),ISNUMBER($C$5),$C$5&gt;=0),ROUND(L187/(1+$C$5/100),2),"")</f>
        <v/>
      </c>
      <c r="N187" s="8" t="str">
        <f>IF(AND(ISNUMBER(A187),COUNT(C187:D187)&gt;0),N(C187)+N(D187)-N(G187)-N(H187),"")</f>
        <v/>
      </c>
      <c r="O187" s="8" t="str">
        <f>IF(AND(ISNUMBER(N187),ISNUMBER(I187)),ROUND(I187-N187,2),"")</f>
        <v/>
      </c>
      <c r="P187" s="9" t="str">
        <f>IF(ISNUMBER(O187),IF(AND(ISNUMBER($G$5),ABS(O187)&gt;$G$5),"Revisa el descuadre",IF(AND(ISNUMBER(J187),ISNUMBER(E187)),IF(ROUND(J187-E187,2)&lt;&gt;0,"El datáfono no cuadra con la tarjeta",""),"")),IF(AND(ISNUMBER(J187),ISNUMBER(E187)),IF(ROUND(J187-E187,2)&lt;&gt;0,"El datáfono no cuadra con la tarjeta",""),""))</f>
        <v/>
      </c>
      <c r="Q187" s="4" t="n"/>
    </row>
    <row r="188">
      <c r="A188" s="7" t="n"/>
      <c r="B188" t="str">
        <f>IF(ISNUMBER(A188),CHOOSE(WEEKDAY(A188,2),"lunes","martes","miércoles","jueves","viernes","sábado","domingo"),"")</f>
        <v/>
      </c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8" t="str">
        <f>IF(AND(ISNUMBER(A188),COUNT(D188:F188)&gt;0),N(D188)+N(E188)+N(F188),"")</f>
        <v/>
      </c>
      <c r="M188" s="8" t="str">
        <f>IF(AND(ISNUMBER(L188),ISNUMBER($C$5),$C$5&gt;=0),ROUND(L188/(1+$C$5/100),2),"")</f>
        <v/>
      </c>
      <c r="N188" s="8" t="str">
        <f>IF(AND(ISNUMBER(A188),COUNT(C188:D188)&gt;0),N(C188)+N(D188)-N(G188)-N(H188),"")</f>
        <v/>
      </c>
      <c r="O188" s="8" t="str">
        <f>IF(AND(ISNUMBER(N188),ISNUMBER(I188)),ROUND(I188-N188,2),"")</f>
        <v/>
      </c>
      <c r="P188" s="9" t="str">
        <f>IF(ISNUMBER(O188),IF(AND(ISNUMBER($G$5),ABS(O188)&gt;$G$5),"Revisa el descuadre",IF(AND(ISNUMBER(J188),ISNUMBER(E188)),IF(ROUND(J188-E188,2)&lt;&gt;0,"El datáfono no cuadra con la tarjeta",""),"")),IF(AND(ISNUMBER(J188),ISNUMBER(E188)),IF(ROUND(J188-E188,2)&lt;&gt;0,"El datáfono no cuadra con la tarjeta",""),""))</f>
        <v/>
      </c>
      <c r="Q188" s="4" t="n"/>
    </row>
    <row r="189">
      <c r="A189" s="7" t="n"/>
      <c r="B189" t="str">
        <f>IF(ISNUMBER(A189),CHOOSE(WEEKDAY(A189,2),"lunes","martes","miércoles","jueves","viernes","sábado","domingo"),"")</f>
        <v/>
      </c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8" t="str">
        <f>IF(AND(ISNUMBER(A189),COUNT(D189:F189)&gt;0),N(D189)+N(E189)+N(F189),"")</f>
        <v/>
      </c>
      <c r="M189" s="8" t="str">
        <f>IF(AND(ISNUMBER(L189),ISNUMBER($C$5),$C$5&gt;=0),ROUND(L189/(1+$C$5/100),2),"")</f>
        <v/>
      </c>
      <c r="N189" s="8" t="str">
        <f>IF(AND(ISNUMBER(A189),COUNT(C189:D189)&gt;0),N(C189)+N(D189)-N(G189)-N(H189),"")</f>
        <v/>
      </c>
      <c r="O189" s="8" t="str">
        <f>IF(AND(ISNUMBER(N189),ISNUMBER(I189)),ROUND(I189-N189,2),"")</f>
        <v/>
      </c>
      <c r="P189" s="9" t="str">
        <f>IF(ISNUMBER(O189),IF(AND(ISNUMBER($G$5),ABS(O189)&gt;$G$5),"Revisa el descuadre",IF(AND(ISNUMBER(J189),ISNUMBER(E189)),IF(ROUND(J189-E189,2)&lt;&gt;0,"El datáfono no cuadra con la tarjeta",""),"")),IF(AND(ISNUMBER(J189),ISNUMBER(E189)),IF(ROUND(J189-E189,2)&lt;&gt;0,"El datáfono no cuadra con la tarjeta",""),""))</f>
        <v/>
      </c>
      <c r="Q189" s="4" t="n"/>
    </row>
    <row r="190">
      <c r="A190" s="7" t="n"/>
      <c r="B190" t="str">
        <f>IF(ISNUMBER(A190),CHOOSE(WEEKDAY(A190,2),"lunes","martes","miércoles","jueves","viernes","sábado","domingo"),"")</f>
        <v/>
      </c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8" t="str">
        <f>IF(AND(ISNUMBER(A190),COUNT(D190:F190)&gt;0),N(D190)+N(E190)+N(F190),"")</f>
        <v/>
      </c>
      <c r="M190" s="8" t="str">
        <f>IF(AND(ISNUMBER(L190),ISNUMBER($C$5),$C$5&gt;=0),ROUND(L190/(1+$C$5/100),2),"")</f>
        <v/>
      </c>
      <c r="N190" s="8" t="str">
        <f>IF(AND(ISNUMBER(A190),COUNT(C190:D190)&gt;0),N(C190)+N(D190)-N(G190)-N(H190),"")</f>
        <v/>
      </c>
      <c r="O190" s="8" t="str">
        <f>IF(AND(ISNUMBER(N190),ISNUMBER(I190)),ROUND(I190-N190,2),"")</f>
        <v/>
      </c>
      <c r="P190" s="9" t="str">
        <f>IF(ISNUMBER(O190),IF(AND(ISNUMBER($G$5),ABS(O190)&gt;$G$5),"Revisa el descuadre",IF(AND(ISNUMBER(J190),ISNUMBER(E190)),IF(ROUND(J190-E190,2)&lt;&gt;0,"El datáfono no cuadra con la tarjeta",""),"")),IF(AND(ISNUMBER(J190),ISNUMBER(E190)),IF(ROUND(J190-E190,2)&lt;&gt;0,"El datáfono no cuadra con la tarjeta",""),""))</f>
        <v/>
      </c>
      <c r="Q190" s="4" t="n"/>
    </row>
    <row r="191">
      <c r="A191" s="7" t="n"/>
      <c r="B191" t="str">
        <f>IF(ISNUMBER(A191),CHOOSE(WEEKDAY(A191,2),"lunes","martes","miércoles","jueves","viernes","sábado","domingo"),"")</f>
        <v/>
      </c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8" t="str">
        <f>IF(AND(ISNUMBER(A191),COUNT(D191:F191)&gt;0),N(D191)+N(E191)+N(F191),"")</f>
        <v/>
      </c>
      <c r="M191" s="8" t="str">
        <f>IF(AND(ISNUMBER(L191),ISNUMBER($C$5),$C$5&gt;=0),ROUND(L191/(1+$C$5/100),2),"")</f>
        <v/>
      </c>
      <c r="N191" s="8" t="str">
        <f>IF(AND(ISNUMBER(A191),COUNT(C191:D191)&gt;0),N(C191)+N(D191)-N(G191)-N(H191),"")</f>
        <v/>
      </c>
      <c r="O191" s="8" t="str">
        <f>IF(AND(ISNUMBER(N191),ISNUMBER(I191)),ROUND(I191-N191,2),"")</f>
        <v/>
      </c>
      <c r="P191" s="9" t="str">
        <f>IF(ISNUMBER(O191),IF(AND(ISNUMBER($G$5),ABS(O191)&gt;$G$5),"Revisa el descuadre",IF(AND(ISNUMBER(J191),ISNUMBER(E191)),IF(ROUND(J191-E191,2)&lt;&gt;0,"El datáfono no cuadra con la tarjeta",""),"")),IF(AND(ISNUMBER(J191),ISNUMBER(E191)),IF(ROUND(J191-E191,2)&lt;&gt;0,"El datáfono no cuadra con la tarjeta",""),""))</f>
        <v/>
      </c>
      <c r="Q191" s="4" t="n"/>
    </row>
    <row r="192">
      <c r="A192" s="7" t="n"/>
      <c r="B192" t="str">
        <f>IF(ISNUMBER(A192),CHOOSE(WEEKDAY(A192,2),"lunes","martes","miércoles","jueves","viernes","sábado","domingo"),"")</f>
        <v/>
      </c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8" t="str">
        <f>IF(AND(ISNUMBER(A192),COUNT(D192:F192)&gt;0),N(D192)+N(E192)+N(F192),"")</f>
        <v/>
      </c>
      <c r="M192" s="8" t="str">
        <f>IF(AND(ISNUMBER(L192),ISNUMBER($C$5),$C$5&gt;=0),ROUND(L192/(1+$C$5/100),2),"")</f>
        <v/>
      </c>
      <c r="N192" s="8" t="str">
        <f>IF(AND(ISNUMBER(A192),COUNT(C192:D192)&gt;0),N(C192)+N(D192)-N(G192)-N(H192),"")</f>
        <v/>
      </c>
      <c r="O192" s="8" t="str">
        <f>IF(AND(ISNUMBER(N192),ISNUMBER(I192)),ROUND(I192-N192,2),"")</f>
        <v/>
      </c>
      <c r="P192" s="9" t="str">
        <f>IF(ISNUMBER(O192),IF(AND(ISNUMBER($G$5),ABS(O192)&gt;$G$5),"Revisa el descuadre",IF(AND(ISNUMBER(J192),ISNUMBER(E192)),IF(ROUND(J192-E192,2)&lt;&gt;0,"El datáfono no cuadra con la tarjeta",""),"")),IF(AND(ISNUMBER(J192),ISNUMBER(E192)),IF(ROUND(J192-E192,2)&lt;&gt;0,"El datáfono no cuadra con la tarjeta",""),""))</f>
        <v/>
      </c>
      <c r="Q192" s="4" t="n"/>
    </row>
    <row r="193">
      <c r="A193" s="7" t="n"/>
      <c r="B193" t="str">
        <f>IF(ISNUMBER(A193),CHOOSE(WEEKDAY(A193,2),"lunes","martes","miércoles","jueves","viernes","sábado","domingo"),"")</f>
        <v/>
      </c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8" t="str">
        <f>IF(AND(ISNUMBER(A193),COUNT(D193:F193)&gt;0),N(D193)+N(E193)+N(F193),"")</f>
        <v/>
      </c>
      <c r="M193" s="8" t="str">
        <f>IF(AND(ISNUMBER(L193),ISNUMBER($C$5),$C$5&gt;=0),ROUND(L193/(1+$C$5/100),2),"")</f>
        <v/>
      </c>
      <c r="N193" s="8" t="str">
        <f>IF(AND(ISNUMBER(A193),COUNT(C193:D193)&gt;0),N(C193)+N(D193)-N(G193)-N(H193),"")</f>
        <v/>
      </c>
      <c r="O193" s="8" t="str">
        <f>IF(AND(ISNUMBER(N193),ISNUMBER(I193)),ROUND(I193-N193,2),"")</f>
        <v/>
      </c>
      <c r="P193" s="9" t="str">
        <f>IF(ISNUMBER(O193),IF(AND(ISNUMBER($G$5),ABS(O193)&gt;$G$5),"Revisa el descuadre",IF(AND(ISNUMBER(J193),ISNUMBER(E193)),IF(ROUND(J193-E193,2)&lt;&gt;0,"El datáfono no cuadra con la tarjeta",""),"")),IF(AND(ISNUMBER(J193),ISNUMBER(E193)),IF(ROUND(J193-E193,2)&lt;&gt;0,"El datáfono no cuadra con la tarjeta",""),""))</f>
        <v/>
      </c>
      <c r="Q193" s="4" t="n"/>
    </row>
    <row r="194">
      <c r="A194" s="7" t="n"/>
      <c r="B194" t="str">
        <f>IF(ISNUMBER(A194),CHOOSE(WEEKDAY(A194,2),"lunes","martes","miércoles","jueves","viernes","sábado","domingo"),"")</f>
        <v/>
      </c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8" t="str">
        <f>IF(AND(ISNUMBER(A194),COUNT(D194:F194)&gt;0),N(D194)+N(E194)+N(F194),"")</f>
        <v/>
      </c>
      <c r="M194" s="8" t="str">
        <f>IF(AND(ISNUMBER(L194),ISNUMBER($C$5),$C$5&gt;=0),ROUND(L194/(1+$C$5/100),2),"")</f>
        <v/>
      </c>
      <c r="N194" s="8" t="str">
        <f>IF(AND(ISNUMBER(A194),COUNT(C194:D194)&gt;0),N(C194)+N(D194)-N(G194)-N(H194),"")</f>
        <v/>
      </c>
      <c r="O194" s="8" t="str">
        <f>IF(AND(ISNUMBER(N194),ISNUMBER(I194)),ROUND(I194-N194,2),"")</f>
        <v/>
      </c>
      <c r="P194" s="9" t="str">
        <f>IF(ISNUMBER(O194),IF(AND(ISNUMBER($G$5),ABS(O194)&gt;$G$5),"Revisa el descuadre",IF(AND(ISNUMBER(J194),ISNUMBER(E194)),IF(ROUND(J194-E194,2)&lt;&gt;0,"El datáfono no cuadra con la tarjeta",""),"")),IF(AND(ISNUMBER(J194),ISNUMBER(E194)),IF(ROUND(J194-E194,2)&lt;&gt;0,"El datáfono no cuadra con la tarjeta",""),""))</f>
        <v/>
      </c>
      <c r="Q194" s="4" t="n"/>
    </row>
    <row r="195">
      <c r="A195" s="7" t="n"/>
      <c r="B195" t="str">
        <f>IF(ISNUMBER(A195),CHOOSE(WEEKDAY(A195,2),"lunes","martes","miércoles","jueves","viernes","sábado","domingo"),"")</f>
        <v/>
      </c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8" t="str">
        <f>IF(AND(ISNUMBER(A195),COUNT(D195:F195)&gt;0),N(D195)+N(E195)+N(F195),"")</f>
        <v/>
      </c>
      <c r="M195" s="8" t="str">
        <f>IF(AND(ISNUMBER(L195),ISNUMBER($C$5),$C$5&gt;=0),ROUND(L195/(1+$C$5/100),2),"")</f>
        <v/>
      </c>
      <c r="N195" s="8" t="str">
        <f>IF(AND(ISNUMBER(A195),COUNT(C195:D195)&gt;0),N(C195)+N(D195)-N(G195)-N(H195),"")</f>
        <v/>
      </c>
      <c r="O195" s="8" t="str">
        <f>IF(AND(ISNUMBER(N195),ISNUMBER(I195)),ROUND(I195-N195,2),"")</f>
        <v/>
      </c>
      <c r="P195" s="9" t="str">
        <f>IF(ISNUMBER(O195),IF(AND(ISNUMBER($G$5),ABS(O195)&gt;$G$5),"Revisa el descuadre",IF(AND(ISNUMBER(J195),ISNUMBER(E195)),IF(ROUND(J195-E195,2)&lt;&gt;0,"El datáfono no cuadra con la tarjeta",""),"")),IF(AND(ISNUMBER(J195),ISNUMBER(E195)),IF(ROUND(J195-E195,2)&lt;&gt;0,"El datáfono no cuadra con la tarjeta",""),""))</f>
        <v/>
      </c>
      <c r="Q195" s="4" t="n"/>
    </row>
    <row r="196">
      <c r="A196" s="7" t="n"/>
      <c r="B196" t="str">
        <f>IF(ISNUMBER(A196),CHOOSE(WEEKDAY(A196,2),"lunes","martes","miércoles","jueves","viernes","sábado","domingo"),"")</f>
        <v/>
      </c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8" t="str">
        <f>IF(AND(ISNUMBER(A196),COUNT(D196:F196)&gt;0),N(D196)+N(E196)+N(F196),"")</f>
        <v/>
      </c>
      <c r="M196" s="8" t="str">
        <f>IF(AND(ISNUMBER(L196),ISNUMBER($C$5),$C$5&gt;=0),ROUND(L196/(1+$C$5/100),2),"")</f>
        <v/>
      </c>
      <c r="N196" s="8" t="str">
        <f>IF(AND(ISNUMBER(A196),COUNT(C196:D196)&gt;0),N(C196)+N(D196)-N(G196)-N(H196),"")</f>
        <v/>
      </c>
      <c r="O196" s="8" t="str">
        <f>IF(AND(ISNUMBER(N196),ISNUMBER(I196)),ROUND(I196-N196,2),"")</f>
        <v/>
      </c>
      <c r="P196" s="9" t="str">
        <f>IF(ISNUMBER(O196),IF(AND(ISNUMBER($G$5),ABS(O196)&gt;$G$5),"Revisa el descuadre",IF(AND(ISNUMBER(J196),ISNUMBER(E196)),IF(ROUND(J196-E196,2)&lt;&gt;0,"El datáfono no cuadra con la tarjeta",""),"")),IF(AND(ISNUMBER(J196),ISNUMBER(E196)),IF(ROUND(J196-E196,2)&lt;&gt;0,"El datáfono no cuadra con la tarjeta",""),""))</f>
        <v/>
      </c>
      <c r="Q196" s="4" t="n"/>
    </row>
    <row r="197">
      <c r="A197" s="7" t="n"/>
      <c r="B197" t="str">
        <f>IF(ISNUMBER(A197),CHOOSE(WEEKDAY(A197,2),"lunes","martes","miércoles","jueves","viernes","sábado","domingo"),"")</f>
        <v/>
      </c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8" t="str">
        <f>IF(AND(ISNUMBER(A197),COUNT(D197:F197)&gt;0),N(D197)+N(E197)+N(F197),"")</f>
        <v/>
      </c>
      <c r="M197" s="8" t="str">
        <f>IF(AND(ISNUMBER(L197),ISNUMBER($C$5),$C$5&gt;=0),ROUND(L197/(1+$C$5/100),2),"")</f>
        <v/>
      </c>
      <c r="N197" s="8" t="str">
        <f>IF(AND(ISNUMBER(A197),COUNT(C197:D197)&gt;0),N(C197)+N(D197)-N(G197)-N(H197),"")</f>
        <v/>
      </c>
      <c r="O197" s="8" t="str">
        <f>IF(AND(ISNUMBER(N197),ISNUMBER(I197)),ROUND(I197-N197,2),"")</f>
        <v/>
      </c>
      <c r="P197" s="9" t="str">
        <f>IF(ISNUMBER(O197),IF(AND(ISNUMBER($G$5),ABS(O197)&gt;$G$5),"Revisa el descuadre",IF(AND(ISNUMBER(J197),ISNUMBER(E197)),IF(ROUND(J197-E197,2)&lt;&gt;0,"El datáfono no cuadra con la tarjeta",""),"")),IF(AND(ISNUMBER(J197),ISNUMBER(E197)),IF(ROUND(J197-E197,2)&lt;&gt;0,"El datáfono no cuadra con la tarjeta",""),""))</f>
        <v/>
      </c>
      <c r="Q197" s="4" t="n"/>
    </row>
    <row r="198">
      <c r="A198" s="7" t="n"/>
      <c r="B198" t="str">
        <f>IF(ISNUMBER(A198),CHOOSE(WEEKDAY(A198,2),"lunes","martes","miércoles","jueves","viernes","sábado","domingo"),"")</f>
        <v/>
      </c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8" t="str">
        <f>IF(AND(ISNUMBER(A198),COUNT(D198:F198)&gt;0),N(D198)+N(E198)+N(F198),"")</f>
        <v/>
      </c>
      <c r="M198" s="8" t="str">
        <f>IF(AND(ISNUMBER(L198),ISNUMBER($C$5),$C$5&gt;=0),ROUND(L198/(1+$C$5/100),2),"")</f>
        <v/>
      </c>
      <c r="N198" s="8" t="str">
        <f>IF(AND(ISNUMBER(A198),COUNT(C198:D198)&gt;0),N(C198)+N(D198)-N(G198)-N(H198),"")</f>
        <v/>
      </c>
      <c r="O198" s="8" t="str">
        <f>IF(AND(ISNUMBER(N198),ISNUMBER(I198)),ROUND(I198-N198,2),"")</f>
        <v/>
      </c>
      <c r="P198" s="9" t="str">
        <f>IF(ISNUMBER(O198),IF(AND(ISNUMBER($G$5),ABS(O198)&gt;$G$5),"Revisa el descuadre",IF(AND(ISNUMBER(J198),ISNUMBER(E198)),IF(ROUND(J198-E198,2)&lt;&gt;0,"El datáfono no cuadra con la tarjeta",""),"")),IF(AND(ISNUMBER(J198),ISNUMBER(E198)),IF(ROUND(J198-E198,2)&lt;&gt;0,"El datáfono no cuadra con la tarjeta",""),""))</f>
        <v/>
      </c>
      <c r="Q198" s="4" t="n"/>
    </row>
    <row r="199">
      <c r="A199" s="7" t="n"/>
      <c r="B199" t="str">
        <f>IF(ISNUMBER(A199),CHOOSE(WEEKDAY(A199,2),"lunes","martes","miércoles","jueves","viernes","sábado","domingo"),"")</f>
        <v/>
      </c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8" t="str">
        <f>IF(AND(ISNUMBER(A199),COUNT(D199:F199)&gt;0),N(D199)+N(E199)+N(F199),"")</f>
        <v/>
      </c>
      <c r="M199" s="8" t="str">
        <f>IF(AND(ISNUMBER(L199),ISNUMBER($C$5),$C$5&gt;=0),ROUND(L199/(1+$C$5/100),2),"")</f>
        <v/>
      </c>
      <c r="N199" s="8" t="str">
        <f>IF(AND(ISNUMBER(A199),COUNT(C199:D199)&gt;0),N(C199)+N(D199)-N(G199)-N(H199),"")</f>
        <v/>
      </c>
      <c r="O199" s="8" t="str">
        <f>IF(AND(ISNUMBER(N199),ISNUMBER(I199)),ROUND(I199-N199,2),"")</f>
        <v/>
      </c>
      <c r="P199" s="9" t="str">
        <f>IF(ISNUMBER(O199),IF(AND(ISNUMBER($G$5),ABS(O199)&gt;$G$5),"Revisa el descuadre",IF(AND(ISNUMBER(J199),ISNUMBER(E199)),IF(ROUND(J199-E199,2)&lt;&gt;0,"El datáfono no cuadra con la tarjeta",""),"")),IF(AND(ISNUMBER(J199),ISNUMBER(E199)),IF(ROUND(J199-E199,2)&lt;&gt;0,"El datáfono no cuadra con la tarjeta",""),""))</f>
        <v/>
      </c>
      <c r="Q199" s="4" t="n"/>
    </row>
    <row r="200">
      <c r="A200" s="7" t="n"/>
      <c r="B200" t="str">
        <f>IF(ISNUMBER(A200),CHOOSE(WEEKDAY(A200,2),"lunes","martes","miércoles","jueves","viernes","sábado","domingo"),"")</f>
        <v/>
      </c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8" t="str">
        <f>IF(AND(ISNUMBER(A200),COUNT(D200:F200)&gt;0),N(D200)+N(E200)+N(F200),"")</f>
        <v/>
      </c>
      <c r="M200" s="8" t="str">
        <f>IF(AND(ISNUMBER(L200),ISNUMBER($C$5),$C$5&gt;=0),ROUND(L200/(1+$C$5/100),2),"")</f>
        <v/>
      </c>
      <c r="N200" s="8" t="str">
        <f>IF(AND(ISNUMBER(A200),COUNT(C200:D200)&gt;0),N(C200)+N(D200)-N(G200)-N(H200),"")</f>
        <v/>
      </c>
      <c r="O200" s="8" t="str">
        <f>IF(AND(ISNUMBER(N200),ISNUMBER(I200)),ROUND(I200-N200,2),"")</f>
        <v/>
      </c>
      <c r="P200" s="9" t="str">
        <f>IF(ISNUMBER(O200),IF(AND(ISNUMBER($G$5),ABS(O200)&gt;$G$5),"Revisa el descuadre",IF(AND(ISNUMBER(J200),ISNUMBER(E200)),IF(ROUND(J200-E200,2)&lt;&gt;0,"El datáfono no cuadra con la tarjeta",""),"")),IF(AND(ISNUMBER(J200),ISNUMBER(E200)),IF(ROUND(J200-E200,2)&lt;&gt;0,"El datáfono no cuadra con la tarjeta",""),""))</f>
        <v/>
      </c>
      <c r="Q200" s="4" t="n"/>
    </row>
    <row r="201">
      <c r="A201" s="7" t="n"/>
      <c r="B201" t="str">
        <f>IF(ISNUMBER(A201),CHOOSE(WEEKDAY(A201,2),"lunes","martes","miércoles","jueves","viernes","sábado","domingo"),"")</f>
        <v/>
      </c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8" t="str">
        <f>IF(AND(ISNUMBER(A201),COUNT(D201:F201)&gt;0),N(D201)+N(E201)+N(F201),"")</f>
        <v/>
      </c>
      <c r="M201" s="8" t="str">
        <f>IF(AND(ISNUMBER(L201),ISNUMBER($C$5),$C$5&gt;=0),ROUND(L201/(1+$C$5/100),2),"")</f>
        <v/>
      </c>
      <c r="N201" s="8" t="str">
        <f>IF(AND(ISNUMBER(A201),COUNT(C201:D201)&gt;0),N(C201)+N(D201)-N(G201)-N(H201),"")</f>
        <v/>
      </c>
      <c r="O201" s="8" t="str">
        <f>IF(AND(ISNUMBER(N201),ISNUMBER(I201)),ROUND(I201-N201,2),"")</f>
        <v/>
      </c>
      <c r="P201" s="9" t="str">
        <f>IF(ISNUMBER(O201),IF(AND(ISNUMBER($G$5),ABS(O201)&gt;$G$5),"Revisa el descuadre",IF(AND(ISNUMBER(J201),ISNUMBER(E201)),IF(ROUND(J201-E201,2)&lt;&gt;0,"El datáfono no cuadra con la tarjeta",""),"")),IF(AND(ISNUMBER(J201),ISNUMBER(E201)),IF(ROUND(J201-E201,2)&lt;&gt;0,"El datáfono no cuadra con la tarjeta",""),""))</f>
        <v/>
      </c>
      <c r="Q201" s="4" t="n"/>
    </row>
    <row r="202">
      <c r="A202" s="7" t="n"/>
      <c r="B202" t="str">
        <f>IF(ISNUMBER(A202),CHOOSE(WEEKDAY(A202,2),"lunes","martes","miércoles","jueves","viernes","sábado","domingo"),"")</f>
        <v/>
      </c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8" t="str">
        <f>IF(AND(ISNUMBER(A202),COUNT(D202:F202)&gt;0),N(D202)+N(E202)+N(F202),"")</f>
        <v/>
      </c>
      <c r="M202" s="8" t="str">
        <f>IF(AND(ISNUMBER(L202),ISNUMBER($C$5),$C$5&gt;=0),ROUND(L202/(1+$C$5/100),2),"")</f>
        <v/>
      </c>
      <c r="N202" s="8" t="str">
        <f>IF(AND(ISNUMBER(A202),COUNT(C202:D202)&gt;0),N(C202)+N(D202)-N(G202)-N(H202),"")</f>
        <v/>
      </c>
      <c r="O202" s="8" t="str">
        <f>IF(AND(ISNUMBER(N202),ISNUMBER(I202)),ROUND(I202-N202,2),"")</f>
        <v/>
      </c>
      <c r="P202" s="9" t="str">
        <f>IF(ISNUMBER(O202),IF(AND(ISNUMBER($G$5),ABS(O202)&gt;$G$5),"Revisa el descuadre",IF(AND(ISNUMBER(J202),ISNUMBER(E202)),IF(ROUND(J202-E202,2)&lt;&gt;0,"El datáfono no cuadra con la tarjeta",""),"")),IF(AND(ISNUMBER(J202),ISNUMBER(E202)),IF(ROUND(J202-E202,2)&lt;&gt;0,"El datáfono no cuadra con la tarjeta",""),""))</f>
        <v/>
      </c>
      <c r="Q202" s="4" t="n"/>
    </row>
    <row r="203">
      <c r="A203" s="7" t="n"/>
      <c r="B203" t="str">
        <f>IF(ISNUMBER(A203),CHOOSE(WEEKDAY(A203,2),"lunes","martes","miércoles","jueves","viernes","sábado","domingo"),"")</f>
        <v/>
      </c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8" t="str">
        <f>IF(AND(ISNUMBER(A203),COUNT(D203:F203)&gt;0),N(D203)+N(E203)+N(F203),"")</f>
        <v/>
      </c>
      <c r="M203" s="8" t="str">
        <f>IF(AND(ISNUMBER(L203),ISNUMBER($C$5),$C$5&gt;=0),ROUND(L203/(1+$C$5/100),2),"")</f>
        <v/>
      </c>
      <c r="N203" s="8" t="str">
        <f>IF(AND(ISNUMBER(A203),COUNT(C203:D203)&gt;0),N(C203)+N(D203)-N(G203)-N(H203),"")</f>
        <v/>
      </c>
      <c r="O203" s="8" t="str">
        <f>IF(AND(ISNUMBER(N203),ISNUMBER(I203)),ROUND(I203-N203,2),"")</f>
        <v/>
      </c>
      <c r="P203" s="9" t="str">
        <f>IF(ISNUMBER(O203),IF(AND(ISNUMBER($G$5),ABS(O203)&gt;$G$5),"Revisa el descuadre",IF(AND(ISNUMBER(J203),ISNUMBER(E203)),IF(ROUND(J203-E203,2)&lt;&gt;0,"El datáfono no cuadra con la tarjeta",""),"")),IF(AND(ISNUMBER(J203),ISNUMBER(E203)),IF(ROUND(J203-E203,2)&lt;&gt;0,"El datáfono no cuadra con la tarjeta",""),""))</f>
        <v/>
      </c>
      <c r="Q203" s="4" t="n"/>
    </row>
    <row r="204">
      <c r="A204" s="7" t="n"/>
      <c r="B204" t="str">
        <f>IF(ISNUMBER(A204),CHOOSE(WEEKDAY(A204,2),"lunes","martes","miércoles","jueves","viernes","sábado","domingo"),"")</f>
        <v/>
      </c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8" t="str">
        <f>IF(AND(ISNUMBER(A204),COUNT(D204:F204)&gt;0),N(D204)+N(E204)+N(F204),"")</f>
        <v/>
      </c>
      <c r="M204" s="8" t="str">
        <f>IF(AND(ISNUMBER(L204),ISNUMBER($C$5),$C$5&gt;=0),ROUND(L204/(1+$C$5/100),2),"")</f>
        <v/>
      </c>
      <c r="N204" s="8" t="str">
        <f>IF(AND(ISNUMBER(A204),COUNT(C204:D204)&gt;0),N(C204)+N(D204)-N(G204)-N(H204),"")</f>
        <v/>
      </c>
      <c r="O204" s="8" t="str">
        <f>IF(AND(ISNUMBER(N204),ISNUMBER(I204)),ROUND(I204-N204,2),"")</f>
        <v/>
      </c>
      <c r="P204" s="9" t="str">
        <f>IF(ISNUMBER(O204),IF(AND(ISNUMBER($G$5),ABS(O204)&gt;$G$5),"Revisa el descuadre",IF(AND(ISNUMBER(J204),ISNUMBER(E204)),IF(ROUND(J204-E204,2)&lt;&gt;0,"El datáfono no cuadra con la tarjeta",""),"")),IF(AND(ISNUMBER(J204),ISNUMBER(E204)),IF(ROUND(J204-E204,2)&lt;&gt;0,"El datáfono no cuadra con la tarjeta",""),""))</f>
        <v/>
      </c>
      <c r="Q204" s="4" t="n"/>
    </row>
    <row r="205">
      <c r="A205" s="7" t="n"/>
      <c r="B205" t="str">
        <f>IF(ISNUMBER(A205),CHOOSE(WEEKDAY(A205,2),"lunes","martes","miércoles","jueves","viernes","sábado","domingo"),"")</f>
        <v/>
      </c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  <c r="L205" s="8" t="str">
        <f>IF(AND(ISNUMBER(A205),COUNT(D205:F205)&gt;0),N(D205)+N(E205)+N(F205),"")</f>
        <v/>
      </c>
      <c r="M205" s="8" t="str">
        <f>IF(AND(ISNUMBER(L205),ISNUMBER($C$5),$C$5&gt;=0),ROUND(L205/(1+$C$5/100),2),"")</f>
        <v/>
      </c>
      <c r="N205" s="8" t="str">
        <f>IF(AND(ISNUMBER(A205),COUNT(C205:D205)&gt;0),N(C205)+N(D205)-N(G205)-N(H205),"")</f>
        <v/>
      </c>
      <c r="O205" s="8" t="str">
        <f>IF(AND(ISNUMBER(N205),ISNUMBER(I205)),ROUND(I205-N205,2),"")</f>
        <v/>
      </c>
      <c r="P205" s="9" t="str">
        <f>IF(ISNUMBER(O205),IF(AND(ISNUMBER($G$5),ABS(O205)&gt;$G$5),"Revisa el descuadre",IF(AND(ISNUMBER(J205),ISNUMBER(E205)),IF(ROUND(J205-E205,2)&lt;&gt;0,"El datáfono no cuadra con la tarjeta",""),"")),IF(AND(ISNUMBER(J205),ISNUMBER(E205)),IF(ROUND(J205-E205,2)&lt;&gt;0,"El datáfono no cuadra con la tarjeta",""),""))</f>
        <v/>
      </c>
      <c r="Q205" s="4" t="n"/>
    </row>
    <row r="206">
      <c r="A206" s="7" t="n"/>
      <c r="B206" t="str">
        <f>IF(ISNUMBER(A206),CHOOSE(WEEKDAY(A206,2),"lunes","martes","miércoles","jueves","viernes","sábado","domingo"),"")</f>
        <v/>
      </c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  <c r="L206" s="8" t="str">
        <f>IF(AND(ISNUMBER(A206),COUNT(D206:F206)&gt;0),N(D206)+N(E206)+N(F206),"")</f>
        <v/>
      </c>
      <c r="M206" s="8" t="str">
        <f>IF(AND(ISNUMBER(L206),ISNUMBER($C$5),$C$5&gt;=0),ROUND(L206/(1+$C$5/100),2),"")</f>
        <v/>
      </c>
      <c r="N206" s="8" t="str">
        <f>IF(AND(ISNUMBER(A206),COUNT(C206:D206)&gt;0),N(C206)+N(D206)-N(G206)-N(H206),"")</f>
        <v/>
      </c>
      <c r="O206" s="8" t="str">
        <f>IF(AND(ISNUMBER(N206),ISNUMBER(I206)),ROUND(I206-N206,2),"")</f>
        <v/>
      </c>
      <c r="P206" s="9" t="str">
        <f>IF(ISNUMBER(O206),IF(AND(ISNUMBER($G$5),ABS(O206)&gt;$G$5),"Revisa el descuadre",IF(AND(ISNUMBER(J206),ISNUMBER(E206)),IF(ROUND(J206-E206,2)&lt;&gt;0,"El datáfono no cuadra con la tarjeta",""),"")),IF(AND(ISNUMBER(J206),ISNUMBER(E206)),IF(ROUND(J206-E206,2)&lt;&gt;0,"El datáfono no cuadra con la tarjeta",""),""))</f>
        <v/>
      </c>
      <c r="Q206" s="4" t="n"/>
    </row>
    <row r="207">
      <c r="A207" s="7" t="n"/>
      <c r="B207" t="str">
        <f>IF(ISNUMBER(A207),CHOOSE(WEEKDAY(A207,2),"lunes","martes","miércoles","jueves","viernes","sábado","domingo"),"")</f>
        <v/>
      </c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  <c r="L207" s="8" t="str">
        <f>IF(AND(ISNUMBER(A207),COUNT(D207:F207)&gt;0),N(D207)+N(E207)+N(F207),"")</f>
        <v/>
      </c>
      <c r="M207" s="8" t="str">
        <f>IF(AND(ISNUMBER(L207),ISNUMBER($C$5),$C$5&gt;=0),ROUND(L207/(1+$C$5/100),2),"")</f>
        <v/>
      </c>
      <c r="N207" s="8" t="str">
        <f>IF(AND(ISNUMBER(A207),COUNT(C207:D207)&gt;0),N(C207)+N(D207)-N(G207)-N(H207),"")</f>
        <v/>
      </c>
      <c r="O207" s="8" t="str">
        <f>IF(AND(ISNUMBER(N207),ISNUMBER(I207)),ROUND(I207-N207,2),"")</f>
        <v/>
      </c>
      <c r="P207" s="9" t="str">
        <f>IF(ISNUMBER(O207),IF(AND(ISNUMBER($G$5),ABS(O207)&gt;$G$5),"Revisa el descuadre",IF(AND(ISNUMBER(J207),ISNUMBER(E207)),IF(ROUND(J207-E207,2)&lt;&gt;0,"El datáfono no cuadra con la tarjeta",""),"")),IF(AND(ISNUMBER(J207),ISNUMBER(E207)),IF(ROUND(J207-E207,2)&lt;&gt;0,"El datáfono no cuadra con la tarjeta",""),""))</f>
        <v/>
      </c>
      <c r="Q207" s="4" t="n"/>
    </row>
    <row r="208">
      <c r="A208" s="7" t="n"/>
      <c r="B208" t="str">
        <f>IF(ISNUMBER(A208),CHOOSE(WEEKDAY(A208,2),"lunes","martes","miércoles","jueves","viernes","sábado","domingo"),"")</f>
        <v/>
      </c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  <c r="L208" s="8" t="str">
        <f>IF(AND(ISNUMBER(A208),COUNT(D208:F208)&gt;0),N(D208)+N(E208)+N(F208),"")</f>
        <v/>
      </c>
      <c r="M208" s="8" t="str">
        <f>IF(AND(ISNUMBER(L208),ISNUMBER($C$5),$C$5&gt;=0),ROUND(L208/(1+$C$5/100),2),"")</f>
        <v/>
      </c>
      <c r="N208" s="8" t="str">
        <f>IF(AND(ISNUMBER(A208),COUNT(C208:D208)&gt;0),N(C208)+N(D208)-N(G208)-N(H208),"")</f>
        <v/>
      </c>
      <c r="O208" s="8" t="str">
        <f>IF(AND(ISNUMBER(N208),ISNUMBER(I208)),ROUND(I208-N208,2),"")</f>
        <v/>
      </c>
      <c r="P208" s="9" t="str">
        <f>IF(ISNUMBER(O208),IF(AND(ISNUMBER($G$5),ABS(O208)&gt;$G$5),"Revisa el descuadre",IF(AND(ISNUMBER(J208),ISNUMBER(E208)),IF(ROUND(J208-E208,2)&lt;&gt;0,"El datáfono no cuadra con la tarjeta",""),"")),IF(AND(ISNUMBER(J208),ISNUMBER(E208)),IF(ROUND(J208-E208,2)&lt;&gt;0,"El datáfono no cuadra con la tarjeta",""),""))</f>
        <v/>
      </c>
      <c r="Q208" s="4" t="n"/>
    </row>
    <row r="209">
      <c r="A209" s="7" t="n"/>
      <c r="B209" t="str">
        <f>IF(ISNUMBER(A209),CHOOSE(WEEKDAY(A209,2),"lunes","martes","miércoles","jueves","viernes","sábado","domingo"),"")</f>
        <v/>
      </c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  <c r="L209" s="8" t="str">
        <f>IF(AND(ISNUMBER(A209),COUNT(D209:F209)&gt;0),N(D209)+N(E209)+N(F209),"")</f>
        <v/>
      </c>
      <c r="M209" s="8" t="str">
        <f>IF(AND(ISNUMBER(L209),ISNUMBER($C$5),$C$5&gt;=0),ROUND(L209/(1+$C$5/100),2),"")</f>
        <v/>
      </c>
      <c r="N209" s="8" t="str">
        <f>IF(AND(ISNUMBER(A209),COUNT(C209:D209)&gt;0),N(C209)+N(D209)-N(G209)-N(H209),"")</f>
        <v/>
      </c>
      <c r="O209" s="8" t="str">
        <f>IF(AND(ISNUMBER(N209),ISNUMBER(I209)),ROUND(I209-N209,2),"")</f>
        <v/>
      </c>
      <c r="P209" s="9" t="str">
        <f>IF(ISNUMBER(O209),IF(AND(ISNUMBER($G$5),ABS(O209)&gt;$G$5),"Revisa el descuadre",IF(AND(ISNUMBER(J209),ISNUMBER(E209)),IF(ROUND(J209-E209,2)&lt;&gt;0,"El datáfono no cuadra con la tarjeta",""),"")),IF(AND(ISNUMBER(J209),ISNUMBER(E209)),IF(ROUND(J209-E209,2)&lt;&gt;0,"El datáfono no cuadra con la tarjeta",""),""))</f>
        <v/>
      </c>
      <c r="Q209" s="4" t="n"/>
    </row>
    <row r="210">
      <c r="A210" s="7" t="n"/>
      <c r="B210" t="str">
        <f>IF(ISNUMBER(A210),CHOOSE(WEEKDAY(A210,2),"lunes","martes","miércoles","jueves","viernes","sábado","domingo"),"")</f>
        <v/>
      </c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  <c r="L210" s="8" t="str">
        <f>IF(AND(ISNUMBER(A210),COUNT(D210:F210)&gt;0),N(D210)+N(E210)+N(F210),"")</f>
        <v/>
      </c>
      <c r="M210" s="8" t="str">
        <f>IF(AND(ISNUMBER(L210),ISNUMBER($C$5),$C$5&gt;=0),ROUND(L210/(1+$C$5/100),2),"")</f>
        <v/>
      </c>
      <c r="N210" s="8" t="str">
        <f>IF(AND(ISNUMBER(A210),COUNT(C210:D210)&gt;0),N(C210)+N(D210)-N(G210)-N(H210),"")</f>
        <v/>
      </c>
      <c r="O210" s="8" t="str">
        <f>IF(AND(ISNUMBER(N210),ISNUMBER(I210)),ROUND(I210-N210,2),"")</f>
        <v/>
      </c>
      <c r="P210" s="9" t="str">
        <f>IF(ISNUMBER(O210),IF(AND(ISNUMBER($G$5),ABS(O210)&gt;$G$5),"Revisa el descuadre",IF(AND(ISNUMBER(J210),ISNUMBER(E210)),IF(ROUND(J210-E210,2)&lt;&gt;0,"El datáfono no cuadra con la tarjeta",""),"")),IF(AND(ISNUMBER(J210),ISNUMBER(E210)),IF(ROUND(J210-E210,2)&lt;&gt;0,"El datáfono no cuadra con la tarjeta",""),""))</f>
        <v/>
      </c>
      <c r="Q210" s="4" t="n"/>
    </row>
    <row r="211">
      <c r="A211" s="7" t="n"/>
      <c r="B211" t="str">
        <f>IF(ISNUMBER(A211),CHOOSE(WEEKDAY(A211,2),"lunes","martes","miércoles","jueves","viernes","sábado","domingo"),"")</f>
        <v/>
      </c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  <c r="L211" s="8" t="str">
        <f>IF(AND(ISNUMBER(A211),COUNT(D211:F211)&gt;0),N(D211)+N(E211)+N(F211),"")</f>
        <v/>
      </c>
      <c r="M211" s="8" t="str">
        <f>IF(AND(ISNUMBER(L211),ISNUMBER($C$5),$C$5&gt;=0),ROUND(L211/(1+$C$5/100),2),"")</f>
        <v/>
      </c>
      <c r="N211" s="8" t="str">
        <f>IF(AND(ISNUMBER(A211),COUNT(C211:D211)&gt;0),N(C211)+N(D211)-N(G211)-N(H211),"")</f>
        <v/>
      </c>
      <c r="O211" s="8" t="str">
        <f>IF(AND(ISNUMBER(N211),ISNUMBER(I211)),ROUND(I211-N211,2),"")</f>
        <v/>
      </c>
      <c r="P211" s="9" t="str">
        <f>IF(ISNUMBER(O211),IF(AND(ISNUMBER($G$5),ABS(O211)&gt;$G$5),"Revisa el descuadre",IF(AND(ISNUMBER(J211),ISNUMBER(E211)),IF(ROUND(J211-E211,2)&lt;&gt;0,"El datáfono no cuadra con la tarjeta",""),"")),IF(AND(ISNUMBER(J211),ISNUMBER(E211)),IF(ROUND(J211-E211,2)&lt;&gt;0,"El datáfono no cuadra con la tarjeta",""),""))</f>
        <v/>
      </c>
      <c r="Q211" s="4" t="n"/>
    </row>
    <row r="212">
      <c r="A212" s="7" t="n"/>
      <c r="B212" t="str">
        <f>IF(ISNUMBER(A212),CHOOSE(WEEKDAY(A212,2),"lunes","martes","miércoles","jueves","viernes","sábado","domingo"),"")</f>
        <v/>
      </c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  <c r="L212" s="8" t="str">
        <f>IF(AND(ISNUMBER(A212),COUNT(D212:F212)&gt;0),N(D212)+N(E212)+N(F212),"")</f>
        <v/>
      </c>
      <c r="M212" s="8" t="str">
        <f>IF(AND(ISNUMBER(L212),ISNUMBER($C$5),$C$5&gt;=0),ROUND(L212/(1+$C$5/100),2),"")</f>
        <v/>
      </c>
      <c r="N212" s="8" t="str">
        <f>IF(AND(ISNUMBER(A212),COUNT(C212:D212)&gt;0),N(C212)+N(D212)-N(G212)-N(H212),"")</f>
        <v/>
      </c>
      <c r="O212" s="8" t="str">
        <f>IF(AND(ISNUMBER(N212),ISNUMBER(I212)),ROUND(I212-N212,2),"")</f>
        <v/>
      </c>
      <c r="P212" s="9" t="str">
        <f>IF(ISNUMBER(O212),IF(AND(ISNUMBER($G$5),ABS(O212)&gt;$G$5),"Revisa el descuadre",IF(AND(ISNUMBER(J212),ISNUMBER(E212)),IF(ROUND(J212-E212,2)&lt;&gt;0,"El datáfono no cuadra con la tarjeta",""),"")),IF(AND(ISNUMBER(J212),ISNUMBER(E212)),IF(ROUND(J212-E212,2)&lt;&gt;0,"El datáfono no cuadra con la tarjeta",""),""))</f>
        <v/>
      </c>
      <c r="Q212" s="4" t="n"/>
    </row>
    <row r="213">
      <c r="A213" s="7" t="n"/>
      <c r="B213" t="str">
        <f>IF(ISNUMBER(A213),CHOOSE(WEEKDAY(A213,2),"lunes","martes","miércoles","jueves","viernes","sábado","domingo"),"")</f>
        <v/>
      </c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  <c r="L213" s="8" t="str">
        <f>IF(AND(ISNUMBER(A213),COUNT(D213:F213)&gt;0),N(D213)+N(E213)+N(F213),"")</f>
        <v/>
      </c>
      <c r="M213" s="8" t="str">
        <f>IF(AND(ISNUMBER(L213),ISNUMBER($C$5),$C$5&gt;=0),ROUND(L213/(1+$C$5/100),2),"")</f>
        <v/>
      </c>
      <c r="N213" s="8" t="str">
        <f>IF(AND(ISNUMBER(A213),COUNT(C213:D213)&gt;0),N(C213)+N(D213)-N(G213)-N(H213),"")</f>
        <v/>
      </c>
      <c r="O213" s="8" t="str">
        <f>IF(AND(ISNUMBER(N213),ISNUMBER(I213)),ROUND(I213-N213,2),"")</f>
        <v/>
      </c>
      <c r="P213" s="9" t="str">
        <f>IF(ISNUMBER(O213),IF(AND(ISNUMBER($G$5),ABS(O213)&gt;$G$5),"Revisa el descuadre",IF(AND(ISNUMBER(J213),ISNUMBER(E213)),IF(ROUND(J213-E213,2)&lt;&gt;0,"El datáfono no cuadra con la tarjeta",""),"")),IF(AND(ISNUMBER(J213),ISNUMBER(E213)),IF(ROUND(J213-E213,2)&lt;&gt;0,"El datáfono no cuadra con la tarjeta",""),""))</f>
        <v/>
      </c>
      <c r="Q213" s="4" t="n"/>
    </row>
    <row r="214">
      <c r="A214" s="7" t="n"/>
      <c r="B214" t="str">
        <f>IF(ISNUMBER(A214),CHOOSE(WEEKDAY(A214,2),"lunes","martes","miércoles","jueves","viernes","sábado","domingo"),"")</f>
        <v/>
      </c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  <c r="L214" s="8" t="str">
        <f>IF(AND(ISNUMBER(A214),COUNT(D214:F214)&gt;0),N(D214)+N(E214)+N(F214),"")</f>
        <v/>
      </c>
      <c r="M214" s="8" t="str">
        <f>IF(AND(ISNUMBER(L214),ISNUMBER($C$5),$C$5&gt;=0),ROUND(L214/(1+$C$5/100),2),"")</f>
        <v/>
      </c>
      <c r="N214" s="8" t="str">
        <f>IF(AND(ISNUMBER(A214),COUNT(C214:D214)&gt;0),N(C214)+N(D214)-N(G214)-N(H214),"")</f>
        <v/>
      </c>
      <c r="O214" s="8" t="str">
        <f>IF(AND(ISNUMBER(N214),ISNUMBER(I214)),ROUND(I214-N214,2),"")</f>
        <v/>
      </c>
      <c r="P214" s="9" t="str">
        <f>IF(ISNUMBER(O214),IF(AND(ISNUMBER($G$5),ABS(O214)&gt;$G$5),"Revisa el descuadre",IF(AND(ISNUMBER(J214),ISNUMBER(E214)),IF(ROUND(J214-E214,2)&lt;&gt;0,"El datáfono no cuadra con la tarjeta",""),"")),IF(AND(ISNUMBER(J214),ISNUMBER(E214)),IF(ROUND(J214-E214,2)&lt;&gt;0,"El datáfono no cuadra con la tarjeta",""),""))</f>
        <v/>
      </c>
      <c r="Q214" s="4" t="n"/>
    </row>
    <row r="215">
      <c r="A215" s="7" t="n"/>
      <c r="B215" t="str">
        <f>IF(ISNUMBER(A215),CHOOSE(WEEKDAY(A215,2),"lunes","martes","miércoles","jueves","viernes","sábado","domingo"),"")</f>
        <v/>
      </c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  <c r="L215" s="8" t="str">
        <f>IF(AND(ISNUMBER(A215),COUNT(D215:F215)&gt;0),N(D215)+N(E215)+N(F215),"")</f>
        <v/>
      </c>
      <c r="M215" s="8" t="str">
        <f>IF(AND(ISNUMBER(L215),ISNUMBER($C$5),$C$5&gt;=0),ROUND(L215/(1+$C$5/100),2),"")</f>
        <v/>
      </c>
      <c r="N215" s="8" t="str">
        <f>IF(AND(ISNUMBER(A215),COUNT(C215:D215)&gt;0),N(C215)+N(D215)-N(G215)-N(H215),"")</f>
        <v/>
      </c>
      <c r="O215" s="8" t="str">
        <f>IF(AND(ISNUMBER(N215),ISNUMBER(I215)),ROUND(I215-N215,2),"")</f>
        <v/>
      </c>
      <c r="P215" s="9" t="str">
        <f>IF(ISNUMBER(O215),IF(AND(ISNUMBER($G$5),ABS(O215)&gt;$G$5),"Revisa el descuadre",IF(AND(ISNUMBER(J215),ISNUMBER(E215)),IF(ROUND(J215-E215,2)&lt;&gt;0,"El datáfono no cuadra con la tarjeta",""),"")),IF(AND(ISNUMBER(J215),ISNUMBER(E215)),IF(ROUND(J215-E215,2)&lt;&gt;0,"El datáfono no cuadra con la tarjeta",""),""))</f>
        <v/>
      </c>
      <c r="Q215" s="4" t="n"/>
    </row>
    <row r="216">
      <c r="A216" s="7" t="n"/>
      <c r="B216" t="str">
        <f>IF(ISNUMBER(A216),CHOOSE(WEEKDAY(A216,2),"lunes","martes","miércoles","jueves","viernes","sábado","domingo"),"")</f>
        <v/>
      </c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  <c r="L216" s="8" t="str">
        <f>IF(AND(ISNUMBER(A216),COUNT(D216:F216)&gt;0),N(D216)+N(E216)+N(F216),"")</f>
        <v/>
      </c>
      <c r="M216" s="8" t="str">
        <f>IF(AND(ISNUMBER(L216),ISNUMBER($C$5),$C$5&gt;=0),ROUND(L216/(1+$C$5/100),2),"")</f>
        <v/>
      </c>
      <c r="N216" s="8" t="str">
        <f>IF(AND(ISNUMBER(A216),COUNT(C216:D216)&gt;0),N(C216)+N(D216)-N(G216)-N(H216),"")</f>
        <v/>
      </c>
      <c r="O216" s="8" t="str">
        <f>IF(AND(ISNUMBER(N216),ISNUMBER(I216)),ROUND(I216-N216,2),"")</f>
        <v/>
      </c>
      <c r="P216" s="9" t="str">
        <f>IF(ISNUMBER(O216),IF(AND(ISNUMBER($G$5),ABS(O216)&gt;$G$5),"Revisa el descuadre",IF(AND(ISNUMBER(J216),ISNUMBER(E216)),IF(ROUND(J216-E216,2)&lt;&gt;0,"El datáfono no cuadra con la tarjeta",""),"")),IF(AND(ISNUMBER(J216),ISNUMBER(E216)),IF(ROUND(J216-E216,2)&lt;&gt;0,"El datáfono no cuadra con la tarjeta",""),""))</f>
        <v/>
      </c>
      <c r="Q216" s="4" t="n"/>
    </row>
    <row r="217">
      <c r="A217" s="7" t="n"/>
      <c r="B217" t="str">
        <f>IF(ISNUMBER(A217),CHOOSE(WEEKDAY(A217,2),"lunes","martes","miércoles","jueves","viernes","sábado","domingo"),"")</f>
        <v/>
      </c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  <c r="L217" s="8" t="str">
        <f>IF(AND(ISNUMBER(A217),COUNT(D217:F217)&gt;0),N(D217)+N(E217)+N(F217),"")</f>
        <v/>
      </c>
      <c r="M217" s="8" t="str">
        <f>IF(AND(ISNUMBER(L217),ISNUMBER($C$5),$C$5&gt;=0),ROUND(L217/(1+$C$5/100),2),"")</f>
        <v/>
      </c>
      <c r="N217" s="8" t="str">
        <f>IF(AND(ISNUMBER(A217),COUNT(C217:D217)&gt;0),N(C217)+N(D217)-N(G217)-N(H217),"")</f>
        <v/>
      </c>
      <c r="O217" s="8" t="str">
        <f>IF(AND(ISNUMBER(N217),ISNUMBER(I217)),ROUND(I217-N217,2),"")</f>
        <v/>
      </c>
      <c r="P217" s="9" t="str">
        <f>IF(ISNUMBER(O217),IF(AND(ISNUMBER($G$5),ABS(O217)&gt;$G$5),"Revisa el descuadre",IF(AND(ISNUMBER(J217),ISNUMBER(E217)),IF(ROUND(J217-E217,2)&lt;&gt;0,"El datáfono no cuadra con la tarjeta",""),"")),IF(AND(ISNUMBER(J217),ISNUMBER(E217)),IF(ROUND(J217-E217,2)&lt;&gt;0,"El datáfono no cuadra con la tarjeta",""),""))</f>
        <v/>
      </c>
      <c r="Q217" s="4" t="n"/>
    </row>
    <row r="218">
      <c r="A218" s="7" t="n"/>
      <c r="B218" t="str">
        <f>IF(ISNUMBER(A218),CHOOSE(WEEKDAY(A218,2),"lunes","martes","miércoles","jueves","viernes","sábado","domingo"),"")</f>
        <v/>
      </c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  <c r="L218" s="8" t="str">
        <f>IF(AND(ISNUMBER(A218),COUNT(D218:F218)&gt;0),N(D218)+N(E218)+N(F218),"")</f>
        <v/>
      </c>
      <c r="M218" s="8" t="str">
        <f>IF(AND(ISNUMBER(L218),ISNUMBER($C$5),$C$5&gt;=0),ROUND(L218/(1+$C$5/100),2),"")</f>
        <v/>
      </c>
      <c r="N218" s="8" t="str">
        <f>IF(AND(ISNUMBER(A218),COUNT(C218:D218)&gt;0),N(C218)+N(D218)-N(G218)-N(H218),"")</f>
        <v/>
      </c>
      <c r="O218" s="8" t="str">
        <f>IF(AND(ISNUMBER(N218),ISNUMBER(I218)),ROUND(I218-N218,2),"")</f>
        <v/>
      </c>
      <c r="P218" s="9" t="str">
        <f>IF(ISNUMBER(O218),IF(AND(ISNUMBER($G$5),ABS(O218)&gt;$G$5),"Revisa el descuadre",IF(AND(ISNUMBER(J218),ISNUMBER(E218)),IF(ROUND(J218-E218,2)&lt;&gt;0,"El datáfono no cuadra con la tarjeta",""),"")),IF(AND(ISNUMBER(J218),ISNUMBER(E218)),IF(ROUND(J218-E218,2)&lt;&gt;0,"El datáfono no cuadra con la tarjeta",""),""))</f>
        <v/>
      </c>
      <c r="Q218" s="4" t="n"/>
    </row>
    <row r="219">
      <c r="A219" s="7" t="n"/>
      <c r="B219" t="str">
        <f>IF(ISNUMBER(A219),CHOOSE(WEEKDAY(A219,2),"lunes","martes","miércoles","jueves","viernes","sábado","domingo"),"")</f>
        <v/>
      </c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  <c r="L219" s="8" t="str">
        <f>IF(AND(ISNUMBER(A219),COUNT(D219:F219)&gt;0),N(D219)+N(E219)+N(F219),"")</f>
        <v/>
      </c>
      <c r="M219" s="8" t="str">
        <f>IF(AND(ISNUMBER(L219),ISNUMBER($C$5),$C$5&gt;=0),ROUND(L219/(1+$C$5/100),2),"")</f>
        <v/>
      </c>
      <c r="N219" s="8" t="str">
        <f>IF(AND(ISNUMBER(A219),COUNT(C219:D219)&gt;0),N(C219)+N(D219)-N(G219)-N(H219),"")</f>
        <v/>
      </c>
      <c r="O219" s="8" t="str">
        <f>IF(AND(ISNUMBER(N219),ISNUMBER(I219)),ROUND(I219-N219,2),"")</f>
        <v/>
      </c>
      <c r="P219" s="9" t="str">
        <f>IF(ISNUMBER(O219),IF(AND(ISNUMBER($G$5),ABS(O219)&gt;$G$5),"Revisa el descuadre",IF(AND(ISNUMBER(J219),ISNUMBER(E219)),IF(ROUND(J219-E219,2)&lt;&gt;0,"El datáfono no cuadra con la tarjeta",""),"")),IF(AND(ISNUMBER(J219),ISNUMBER(E219)),IF(ROUND(J219-E219,2)&lt;&gt;0,"El datáfono no cuadra con la tarjeta",""),""))</f>
        <v/>
      </c>
      <c r="Q219" s="4" t="n"/>
    </row>
    <row r="220">
      <c r="A220" s="7" t="n"/>
      <c r="B220" t="str">
        <f>IF(ISNUMBER(A220),CHOOSE(WEEKDAY(A220,2),"lunes","martes","miércoles","jueves","viernes","sábado","domingo"),"")</f>
        <v/>
      </c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  <c r="L220" s="8" t="str">
        <f>IF(AND(ISNUMBER(A220),COUNT(D220:F220)&gt;0),N(D220)+N(E220)+N(F220),"")</f>
        <v/>
      </c>
      <c r="M220" s="8" t="str">
        <f>IF(AND(ISNUMBER(L220),ISNUMBER($C$5),$C$5&gt;=0),ROUND(L220/(1+$C$5/100),2),"")</f>
        <v/>
      </c>
      <c r="N220" s="8" t="str">
        <f>IF(AND(ISNUMBER(A220),COUNT(C220:D220)&gt;0),N(C220)+N(D220)-N(G220)-N(H220),"")</f>
        <v/>
      </c>
      <c r="O220" s="8" t="str">
        <f>IF(AND(ISNUMBER(N220),ISNUMBER(I220)),ROUND(I220-N220,2),"")</f>
        <v/>
      </c>
      <c r="P220" s="9" t="str">
        <f>IF(ISNUMBER(O220),IF(AND(ISNUMBER($G$5),ABS(O220)&gt;$G$5),"Revisa el descuadre",IF(AND(ISNUMBER(J220),ISNUMBER(E220)),IF(ROUND(J220-E220,2)&lt;&gt;0,"El datáfono no cuadra con la tarjeta",""),"")),IF(AND(ISNUMBER(J220),ISNUMBER(E220)),IF(ROUND(J220-E220,2)&lt;&gt;0,"El datáfono no cuadra con la tarjeta",""),""))</f>
        <v/>
      </c>
      <c r="Q220" s="4" t="n"/>
    </row>
    <row r="221">
      <c r="A221" s="7" t="n"/>
      <c r="B221" t="str">
        <f>IF(ISNUMBER(A221),CHOOSE(WEEKDAY(A221,2),"lunes","martes","miércoles","jueves","viernes","sábado","domingo"),"")</f>
        <v/>
      </c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  <c r="L221" s="8" t="str">
        <f>IF(AND(ISNUMBER(A221),COUNT(D221:F221)&gt;0),N(D221)+N(E221)+N(F221),"")</f>
        <v/>
      </c>
      <c r="M221" s="8" t="str">
        <f>IF(AND(ISNUMBER(L221),ISNUMBER($C$5),$C$5&gt;=0),ROUND(L221/(1+$C$5/100),2),"")</f>
        <v/>
      </c>
      <c r="N221" s="8" t="str">
        <f>IF(AND(ISNUMBER(A221),COUNT(C221:D221)&gt;0),N(C221)+N(D221)-N(G221)-N(H221),"")</f>
        <v/>
      </c>
      <c r="O221" s="8" t="str">
        <f>IF(AND(ISNUMBER(N221),ISNUMBER(I221)),ROUND(I221-N221,2),"")</f>
        <v/>
      </c>
      <c r="P221" s="9" t="str">
        <f>IF(ISNUMBER(O221),IF(AND(ISNUMBER($G$5),ABS(O221)&gt;$G$5),"Revisa el descuadre",IF(AND(ISNUMBER(J221),ISNUMBER(E221)),IF(ROUND(J221-E221,2)&lt;&gt;0,"El datáfono no cuadra con la tarjeta",""),"")),IF(AND(ISNUMBER(J221),ISNUMBER(E221)),IF(ROUND(J221-E221,2)&lt;&gt;0,"El datáfono no cuadra con la tarjeta",""),""))</f>
        <v/>
      </c>
      <c r="Q221" s="4" t="n"/>
    </row>
    <row r="222">
      <c r="A222" s="7" t="n"/>
      <c r="B222" t="str">
        <f>IF(ISNUMBER(A222),CHOOSE(WEEKDAY(A222,2),"lunes","martes","miércoles","jueves","viernes","sábado","domingo"),"")</f>
        <v/>
      </c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  <c r="L222" s="8" t="str">
        <f>IF(AND(ISNUMBER(A222),COUNT(D222:F222)&gt;0),N(D222)+N(E222)+N(F222),"")</f>
        <v/>
      </c>
      <c r="M222" s="8" t="str">
        <f>IF(AND(ISNUMBER(L222),ISNUMBER($C$5),$C$5&gt;=0),ROUND(L222/(1+$C$5/100),2),"")</f>
        <v/>
      </c>
      <c r="N222" s="8" t="str">
        <f>IF(AND(ISNUMBER(A222),COUNT(C222:D222)&gt;0),N(C222)+N(D222)-N(G222)-N(H222),"")</f>
        <v/>
      </c>
      <c r="O222" s="8" t="str">
        <f>IF(AND(ISNUMBER(N222),ISNUMBER(I222)),ROUND(I222-N222,2),"")</f>
        <v/>
      </c>
      <c r="P222" s="9" t="str">
        <f>IF(ISNUMBER(O222),IF(AND(ISNUMBER($G$5),ABS(O222)&gt;$G$5),"Revisa el descuadre",IF(AND(ISNUMBER(J222),ISNUMBER(E222)),IF(ROUND(J222-E222,2)&lt;&gt;0,"El datáfono no cuadra con la tarjeta",""),"")),IF(AND(ISNUMBER(J222),ISNUMBER(E222)),IF(ROUND(J222-E222,2)&lt;&gt;0,"El datáfono no cuadra con la tarjeta",""),""))</f>
        <v/>
      </c>
      <c r="Q222" s="4" t="n"/>
    </row>
    <row r="223">
      <c r="A223" s="7" t="n"/>
      <c r="B223" t="str">
        <f>IF(ISNUMBER(A223),CHOOSE(WEEKDAY(A223,2),"lunes","martes","miércoles","jueves","viernes","sábado","domingo"),"")</f>
        <v/>
      </c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  <c r="L223" s="8" t="str">
        <f>IF(AND(ISNUMBER(A223),COUNT(D223:F223)&gt;0),N(D223)+N(E223)+N(F223),"")</f>
        <v/>
      </c>
      <c r="M223" s="8" t="str">
        <f>IF(AND(ISNUMBER(L223),ISNUMBER($C$5),$C$5&gt;=0),ROUND(L223/(1+$C$5/100),2),"")</f>
        <v/>
      </c>
      <c r="N223" s="8" t="str">
        <f>IF(AND(ISNUMBER(A223),COUNT(C223:D223)&gt;0),N(C223)+N(D223)-N(G223)-N(H223),"")</f>
        <v/>
      </c>
      <c r="O223" s="8" t="str">
        <f>IF(AND(ISNUMBER(N223),ISNUMBER(I223)),ROUND(I223-N223,2),"")</f>
        <v/>
      </c>
      <c r="P223" s="9" t="str">
        <f>IF(ISNUMBER(O223),IF(AND(ISNUMBER($G$5),ABS(O223)&gt;$G$5),"Revisa el descuadre",IF(AND(ISNUMBER(J223),ISNUMBER(E223)),IF(ROUND(J223-E223,2)&lt;&gt;0,"El datáfono no cuadra con la tarjeta",""),"")),IF(AND(ISNUMBER(J223),ISNUMBER(E223)),IF(ROUND(J223-E223,2)&lt;&gt;0,"El datáfono no cuadra con la tarjeta",""),""))</f>
        <v/>
      </c>
      <c r="Q223" s="4" t="n"/>
    </row>
    <row r="224">
      <c r="A224" s="7" t="n"/>
      <c r="B224" t="str">
        <f>IF(ISNUMBER(A224),CHOOSE(WEEKDAY(A224,2),"lunes","martes","miércoles","jueves","viernes","sábado","domingo"),"")</f>
        <v/>
      </c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  <c r="L224" s="8" t="str">
        <f>IF(AND(ISNUMBER(A224),COUNT(D224:F224)&gt;0),N(D224)+N(E224)+N(F224),"")</f>
        <v/>
      </c>
      <c r="M224" s="8" t="str">
        <f>IF(AND(ISNUMBER(L224),ISNUMBER($C$5),$C$5&gt;=0),ROUND(L224/(1+$C$5/100),2),"")</f>
        <v/>
      </c>
      <c r="N224" s="8" t="str">
        <f>IF(AND(ISNUMBER(A224),COUNT(C224:D224)&gt;0),N(C224)+N(D224)-N(G224)-N(H224),"")</f>
        <v/>
      </c>
      <c r="O224" s="8" t="str">
        <f>IF(AND(ISNUMBER(N224),ISNUMBER(I224)),ROUND(I224-N224,2),"")</f>
        <v/>
      </c>
      <c r="P224" s="9" t="str">
        <f>IF(ISNUMBER(O224),IF(AND(ISNUMBER($G$5),ABS(O224)&gt;$G$5),"Revisa el descuadre",IF(AND(ISNUMBER(J224),ISNUMBER(E224)),IF(ROUND(J224-E224,2)&lt;&gt;0,"El datáfono no cuadra con la tarjeta",""),"")),IF(AND(ISNUMBER(J224),ISNUMBER(E224)),IF(ROUND(J224-E224,2)&lt;&gt;0,"El datáfono no cuadra con la tarjeta",""),""))</f>
        <v/>
      </c>
      <c r="Q224" s="4" t="n"/>
    </row>
    <row r="225">
      <c r="A225" s="7" t="n"/>
      <c r="B225" t="str">
        <f>IF(ISNUMBER(A225),CHOOSE(WEEKDAY(A225,2),"lunes","martes","miércoles","jueves","viernes","sábado","domingo"),"")</f>
        <v/>
      </c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  <c r="L225" s="8" t="str">
        <f>IF(AND(ISNUMBER(A225),COUNT(D225:F225)&gt;0),N(D225)+N(E225)+N(F225),"")</f>
        <v/>
      </c>
      <c r="M225" s="8" t="str">
        <f>IF(AND(ISNUMBER(L225),ISNUMBER($C$5),$C$5&gt;=0),ROUND(L225/(1+$C$5/100),2),"")</f>
        <v/>
      </c>
      <c r="N225" s="8" t="str">
        <f>IF(AND(ISNUMBER(A225),COUNT(C225:D225)&gt;0),N(C225)+N(D225)-N(G225)-N(H225),"")</f>
        <v/>
      </c>
      <c r="O225" s="8" t="str">
        <f>IF(AND(ISNUMBER(N225),ISNUMBER(I225)),ROUND(I225-N225,2),"")</f>
        <v/>
      </c>
      <c r="P225" s="9" t="str">
        <f>IF(ISNUMBER(O225),IF(AND(ISNUMBER($G$5),ABS(O225)&gt;$G$5),"Revisa el descuadre",IF(AND(ISNUMBER(J225),ISNUMBER(E225)),IF(ROUND(J225-E225,2)&lt;&gt;0,"El datáfono no cuadra con la tarjeta",""),"")),IF(AND(ISNUMBER(J225),ISNUMBER(E225)),IF(ROUND(J225-E225,2)&lt;&gt;0,"El datáfono no cuadra con la tarjeta",""),""))</f>
        <v/>
      </c>
      <c r="Q225" s="4" t="n"/>
    </row>
    <row r="226">
      <c r="A226" s="7" t="n"/>
      <c r="B226" t="str">
        <f>IF(ISNUMBER(A226),CHOOSE(WEEKDAY(A226,2),"lunes","martes","miércoles","jueves","viernes","sábado","domingo"),"")</f>
        <v/>
      </c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  <c r="L226" s="8" t="str">
        <f>IF(AND(ISNUMBER(A226),COUNT(D226:F226)&gt;0),N(D226)+N(E226)+N(F226),"")</f>
        <v/>
      </c>
      <c r="M226" s="8" t="str">
        <f>IF(AND(ISNUMBER(L226),ISNUMBER($C$5),$C$5&gt;=0),ROUND(L226/(1+$C$5/100),2),"")</f>
        <v/>
      </c>
      <c r="N226" s="8" t="str">
        <f>IF(AND(ISNUMBER(A226),COUNT(C226:D226)&gt;0),N(C226)+N(D226)-N(G226)-N(H226),"")</f>
        <v/>
      </c>
      <c r="O226" s="8" t="str">
        <f>IF(AND(ISNUMBER(N226),ISNUMBER(I226)),ROUND(I226-N226,2),"")</f>
        <v/>
      </c>
      <c r="P226" s="9" t="str">
        <f>IF(ISNUMBER(O226),IF(AND(ISNUMBER($G$5),ABS(O226)&gt;$G$5),"Revisa el descuadre",IF(AND(ISNUMBER(J226),ISNUMBER(E226)),IF(ROUND(J226-E226,2)&lt;&gt;0,"El datáfono no cuadra con la tarjeta",""),"")),IF(AND(ISNUMBER(J226),ISNUMBER(E226)),IF(ROUND(J226-E226,2)&lt;&gt;0,"El datáfono no cuadra con la tarjeta",""),""))</f>
        <v/>
      </c>
      <c r="Q226" s="4" t="n"/>
    </row>
    <row r="227">
      <c r="A227" s="7" t="n"/>
      <c r="B227" t="str">
        <f>IF(ISNUMBER(A227),CHOOSE(WEEKDAY(A227,2),"lunes","martes","miércoles","jueves","viernes","sábado","domingo"),"")</f>
        <v/>
      </c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  <c r="L227" s="8" t="str">
        <f>IF(AND(ISNUMBER(A227),COUNT(D227:F227)&gt;0),N(D227)+N(E227)+N(F227),"")</f>
        <v/>
      </c>
      <c r="M227" s="8" t="str">
        <f>IF(AND(ISNUMBER(L227),ISNUMBER($C$5),$C$5&gt;=0),ROUND(L227/(1+$C$5/100),2),"")</f>
        <v/>
      </c>
      <c r="N227" s="8" t="str">
        <f>IF(AND(ISNUMBER(A227),COUNT(C227:D227)&gt;0),N(C227)+N(D227)-N(G227)-N(H227),"")</f>
        <v/>
      </c>
      <c r="O227" s="8" t="str">
        <f>IF(AND(ISNUMBER(N227),ISNUMBER(I227)),ROUND(I227-N227,2),"")</f>
        <v/>
      </c>
      <c r="P227" s="9" t="str">
        <f>IF(ISNUMBER(O227),IF(AND(ISNUMBER($G$5),ABS(O227)&gt;$G$5),"Revisa el descuadre",IF(AND(ISNUMBER(J227),ISNUMBER(E227)),IF(ROUND(J227-E227,2)&lt;&gt;0,"El datáfono no cuadra con la tarjeta",""),"")),IF(AND(ISNUMBER(J227),ISNUMBER(E227)),IF(ROUND(J227-E227,2)&lt;&gt;0,"El datáfono no cuadra con la tarjeta",""),""))</f>
        <v/>
      </c>
      <c r="Q227" s="4" t="n"/>
    </row>
    <row r="228">
      <c r="A228" s="7" t="n"/>
      <c r="B228" t="str">
        <f>IF(ISNUMBER(A228),CHOOSE(WEEKDAY(A228,2),"lunes","martes","miércoles","jueves","viernes","sábado","domingo"),"")</f>
        <v/>
      </c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  <c r="L228" s="8" t="str">
        <f>IF(AND(ISNUMBER(A228),COUNT(D228:F228)&gt;0),N(D228)+N(E228)+N(F228),"")</f>
        <v/>
      </c>
      <c r="M228" s="8" t="str">
        <f>IF(AND(ISNUMBER(L228),ISNUMBER($C$5),$C$5&gt;=0),ROUND(L228/(1+$C$5/100),2),"")</f>
        <v/>
      </c>
      <c r="N228" s="8" t="str">
        <f>IF(AND(ISNUMBER(A228),COUNT(C228:D228)&gt;0),N(C228)+N(D228)-N(G228)-N(H228),"")</f>
        <v/>
      </c>
      <c r="O228" s="8" t="str">
        <f>IF(AND(ISNUMBER(N228),ISNUMBER(I228)),ROUND(I228-N228,2),"")</f>
        <v/>
      </c>
      <c r="P228" s="9" t="str">
        <f>IF(ISNUMBER(O228),IF(AND(ISNUMBER($G$5),ABS(O228)&gt;$G$5),"Revisa el descuadre",IF(AND(ISNUMBER(J228),ISNUMBER(E228)),IF(ROUND(J228-E228,2)&lt;&gt;0,"El datáfono no cuadra con la tarjeta",""),"")),IF(AND(ISNUMBER(J228),ISNUMBER(E228)),IF(ROUND(J228-E228,2)&lt;&gt;0,"El datáfono no cuadra con la tarjeta",""),""))</f>
        <v/>
      </c>
      <c r="Q228" s="4" t="n"/>
    </row>
    <row r="229">
      <c r="A229" s="7" t="n"/>
      <c r="B229" t="str">
        <f>IF(ISNUMBER(A229),CHOOSE(WEEKDAY(A229,2),"lunes","martes","miércoles","jueves","viernes","sábado","domingo"),"")</f>
        <v/>
      </c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  <c r="L229" s="8" t="str">
        <f>IF(AND(ISNUMBER(A229),COUNT(D229:F229)&gt;0),N(D229)+N(E229)+N(F229),"")</f>
        <v/>
      </c>
      <c r="M229" s="8" t="str">
        <f>IF(AND(ISNUMBER(L229),ISNUMBER($C$5),$C$5&gt;=0),ROUND(L229/(1+$C$5/100),2),"")</f>
        <v/>
      </c>
      <c r="N229" s="8" t="str">
        <f>IF(AND(ISNUMBER(A229),COUNT(C229:D229)&gt;0),N(C229)+N(D229)-N(G229)-N(H229),"")</f>
        <v/>
      </c>
      <c r="O229" s="8" t="str">
        <f>IF(AND(ISNUMBER(N229),ISNUMBER(I229)),ROUND(I229-N229,2),"")</f>
        <v/>
      </c>
      <c r="P229" s="9" t="str">
        <f>IF(ISNUMBER(O229),IF(AND(ISNUMBER($G$5),ABS(O229)&gt;$G$5),"Revisa el descuadre",IF(AND(ISNUMBER(J229),ISNUMBER(E229)),IF(ROUND(J229-E229,2)&lt;&gt;0,"El datáfono no cuadra con la tarjeta",""),"")),IF(AND(ISNUMBER(J229),ISNUMBER(E229)),IF(ROUND(J229-E229,2)&lt;&gt;0,"El datáfono no cuadra con la tarjeta",""),""))</f>
        <v/>
      </c>
      <c r="Q229" s="4" t="n"/>
    </row>
    <row r="230">
      <c r="A230" s="7" t="n"/>
      <c r="B230" t="str">
        <f>IF(ISNUMBER(A230),CHOOSE(WEEKDAY(A230,2),"lunes","martes","miércoles","jueves","viernes","sábado","domingo"),"")</f>
        <v/>
      </c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  <c r="L230" s="8" t="str">
        <f>IF(AND(ISNUMBER(A230),COUNT(D230:F230)&gt;0),N(D230)+N(E230)+N(F230),"")</f>
        <v/>
      </c>
      <c r="M230" s="8" t="str">
        <f>IF(AND(ISNUMBER(L230),ISNUMBER($C$5),$C$5&gt;=0),ROUND(L230/(1+$C$5/100),2),"")</f>
        <v/>
      </c>
      <c r="N230" s="8" t="str">
        <f>IF(AND(ISNUMBER(A230),COUNT(C230:D230)&gt;0),N(C230)+N(D230)-N(G230)-N(H230),"")</f>
        <v/>
      </c>
      <c r="O230" s="8" t="str">
        <f>IF(AND(ISNUMBER(N230),ISNUMBER(I230)),ROUND(I230-N230,2),"")</f>
        <v/>
      </c>
      <c r="P230" s="9" t="str">
        <f>IF(ISNUMBER(O230),IF(AND(ISNUMBER($G$5),ABS(O230)&gt;$G$5),"Revisa el descuadre",IF(AND(ISNUMBER(J230),ISNUMBER(E230)),IF(ROUND(J230-E230,2)&lt;&gt;0,"El datáfono no cuadra con la tarjeta",""),"")),IF(AND(ISNUMBER(J230),ISNUMBER(E230)),IF(ROUND(J230-E230,2)&lt;&gt;0,"El datáfono no cuadra con la tarjeta",""),""))</f>
        <v/>
      </c>
      <c r="Q230" s="4" t="n"/>
    </row>
    <row r="231">
      <c r="A231" s="7" t="n"/>
      <c r="B231" t="str">
        <f>IF(ISNUMBER(A231),CHOOSE(WEEKDAY(A231,2),"lunes","martes","miércoles","jueves","viernes","sábado","domingo"),"")</f>
        <v/>
      </c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  <c r="L231" s="8" t="str">
        <f>IF(AND(ISNUMBER(A231),COUNT(D231:F231)&gt;0),N(D231)+N(E231)+N(F231),"")</f>
        <v/>
      </c>
      <c r="M231" s="8" t="str">
        <f>IF(AND(ISNUMBER(L231),ISNUMBER($C$5),$C$5&gt;=0),ROUND(L231/(1+$C$5/100),2),"")</f>
        <v/>
      </c>
      <c r="N231" s="8" t="str">
        <f>IF(AND(ISNUMBER(A231),COUNT(C231:D231)&gt;0),N(C231)+N(D231)-N(G231)-N(H231),"")</f>
        <v/>
      </c>
      <c r="O231" s="8" t="str">
        <f>IF(AND(ISNUMBER(N231),ISNUMBER(I231)),ROUND(I231-N231,2),"")</f>
        <v/>
      </c>
      <c r="P231" s="9" t="str">
        <f>IF(ISNUMBER(O231),IF(AND(ISNUMBER($G$5),ABS(O231)&gt;$G$5),"Revisa el descuadre",IF(AND(ISNUMBER(J231),ISNUMBER(E231)),IF(ROUND(J231-E231,2)&lt;&gt;0,"El datáfono no cuadra con la tarjeta",""),"")),IF(AND(ISNUMBER(J231),ISNUMBER(E231)),IF(ROUND(J231-E231,2)&lt;&gt;0,"El datáfono no cuadra con la tarjeta",""),""))</f>
        <v/>
      </c>
      <c r="Q231" s="4" t="n"/>
    </row>
    <row r="232">
      <c r="A232" s="7" t="n"/>
      <c r="B232" t="str">
        <f>IF(ISNUMBER(A232),CHOOSE(WEEKDAY(A232,2),"lunes","martes","miércoles","jueves","viernes","sábado","domingo"),"")</f>
        <v/>
      </c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  <c r="L232" s="8" t="str">
        <f>IF(AND(ISNUMBER(A232),COUNT(D232:F232)&gt;0),N(D232)+N(E232)+N(F232),"")</f>
        <v/>
      </c>
      <c r="M232" s="8" t="str">
        <f>IF(AND(ISNUMBER(L232),ISNUMBER($C$5),$C$5&gt;=0),ROUND(L232/(1+$C$5/100),2),"")</f>
        <v/>
      </c>
      <c r="N232" s="8" t="str">
        <f>IF(AND(ISNUMBER(A232),COUNT(C232:D232)&gt;0),N(C232)+N(D232)-N(G232)-N(H232),"")</f>
        <v/>
      </c>
      <c r="O232" s="8" t="str">
        <f>IF(AND(ISNUMBER(N232),ISNUMBER(I232)),ROUND(I232-N232,2),"")</f>
        <v/>
      </c>
      <c r="P232" s="9" t="str">
        <f>IF(ISNUMBER(O232),IF(AND(ISNUMBER($G$5),ABS(O232)&gt;$G$5),"Revisa el descuadre",IF(AND(ISNUMBER(J232),ISNUMBER(E232)),IF(ROUND(J232-E232,2)&lt;&gt;0,"El datáfono no cuadra con la tarjeta",""),"")),IF(AND(ISNUMBER(J232),ISNUMBER(E232)),IF(ROUND(J232-E232,2)&lt;&gt;0,"El datáfono no cuadra con la tarjeta",""),""))</f>
        <v/>
      </c>
      <c r="Q232" s="4" t="n"/>
    </row>
    <row r="233">
      <c r="A233" s="7" t="n"/>
      <c r="B233" t="str">
        <f>IF(ISNUMBER(A233),CHOOSE(WEEKDAY(A233,2),"lunes","martes","miércoles","jueves","viernes","sábado","domingo"),"")</f>
        <v/>
      </c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  <c r="L233" s="8" t="str">
        <f>IF(AND(ISNUMBER(A233),COUNT(D233:F233)&gt;0),N(D233)+N(E233)+N(F233),"")</f>
        <v/>
      </c>
      <c r="M233" s="8" t="str">
        <f>IF(AND(ISNUMBER(L233),ISNUMBER($C$5),$C$5&gt;=0),ROUND(L233/(1+$C$5/100),2),"")</f>
        <v/>
      </c>
      <c r="N233" s="8" t="str">
        <f>IF(AND(ISNUMBER(A233),COUNT(C233:D233)&gt;0),N(C233)+N(D233)-N(G233)-N(H233),"")</f>
        <v/>
      </c>
      <c r="O233" s="8" t="str">
        <f>IF(AND(ISNUMBER(N233),ISNUMBER(I233)),ROUND(I233-N233,2),"")</f>
        <v/>
      </c>
      <c r="P233" s="9" t="str">
        <f>IF(ISNUMBER(O233),IF(AND(ISNUMBER($G$5),ABS(O233)&gt;$G$5),"Revisa el descuadre",IF(AND(ISNUMBER(J233),ISNUMBER(E233)),IF(ROUND(J233-E233,2)&lt;&gt;0,"El datáfono no cuadra con la tarjeta",""),"")),IF(AND(ISNUMBER(J233),ISNUMBER(E233)),IF(ROUND(J233-E233,2)&lt;&gt;0,"El datáfono no cuadra con la tarjeta",""),""))</f>
        <v/>
      </c>
      <c r="Q233" s="4" t="n"/>
    </row>
    <row r="234">
      <c r="A234" s="7" t="n"/>
      <c r="B234" t="str">
        <f>IF(ISNUMBER(A234),CHOOSE(WEEKDAY(A234,2),"lunes","martes","miércoles","jueves","viernes","sábado","domingo"),"")</f>
        <v/>
      </c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  <c r="L234" s="8" t="str">
        <f>IF(AND(ISNUMBER(A234),COUNT(D234:F234)&gt;0),N(D234)+N(E234)+N(F234),"")</f>
        <v/>
      </c>
      <c r="M234" s="8" t="str">
        <f>IF(AND(ISNUMBER(L234),ISNUMBER($C$5),$C$5&gt;=0),ROUND(L234/(1+$C$5/100),2),"")</f>
        <v/>
      </c>
      <c r="N234" s="8" t="str">
        <f>IF(AND(ISNUMBER(A234),COUNT(C234:D234)&gt;0),N(C234)+N(D234)-N(G234)-N(H234),"")</f>
        <v/>
      </c>
      <c r="O234" s="8" t="str">
        <f>IF(AND(ISNUMBER(N234),ISNUMBER(I234)),ROUND(I234-N234,2),"")</f>
        <v/>
      </c>
      <c r="P234" s="9" t="str">
        <f>IF(ISNUMBER(O234),IF(AND(ISNUMBER($G$5),ABS(O234)&gt;$G$5),"Revisa el descuadre",IF(AND(ISNUMBER(J234),ISNUMBER(E234)),IF(ROUND(J234-E234,2)&lt;&gt;0,"El datáfono no cuadra con la tarjeta",""),"")),IF(AND(ISNUMBER(J234),ISNUMBER(E234)),IF(ROUND(J234-E234,2)&lt;&gt;0,"El datáfono no cuadra con la tarjeta",""),""))</f>
        <v/>
      </c>
      <c r="Q234" s="4" t="n"/>
    </row>
    <row r="235">
      <c r="A235" s="7" t="n"/>
      <c r="B235" t="str">
        <f>IF(ISNUMBER(A235),CHOOSE(WEEKDAY(A235,2),"lunes","martes","miércoles","jueves","viernes","sábado","domingo"),"")</f>
        <v/>
      </c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  <c r="L235" s="8" t="str">
        <f>IF(AND(ISNUMBER(A235),COUNT(D235:F235)&gt;0),N(D235)+N(E235)+N(F235),"")</f>
        <v/>
      </c>
      <c r="M235" s="8" t="str">
        <f>IF(AND(ISNUMBER(L235),ISNUMBER($C$5),$C$5&gt;=0),ROUND(L235/(1+$C$5/100),2),"")</f>
        <v/>
      </c>
      <c r="N235" s="8" t="str">
        <f>IF(AND(ISNUMBER(A235),COUNT(C235:D235)&gt;0),N(C235)+N(D235)-N(G235)-N(H235),"")</f>
        <v/>
      </c>
      <c r="O235" s="8" t="str">
        <f>IF(AND(ISNUMBER(N235),ISNUMBER(I235)),ROUND(I235-N235,2),"")</f>
        <v/>
      </c>
      <c r="P235" s="9" t="str">
        <f>IF(ISNUMBER(O235),IF(AND(ISNUMBER($G$5),ABS(O235)&gt;$G$5),"Revisa el descuadre",IF(AND(ISNUMBER(J235),ISNUMBER(E235)),IF(ROUND(J235-E235,2)&lt;&gt;0,"El datáfono no cuadra con la tarjeta",""),"")),IF(AND(ISNUMBER(J235),ISNUMBER(E235)),IF(ROUND(J235-E235,2)&lt;&gt;0,"El datáfono no cuadra con la tarjeta",""),""))</f>
        <v/>
      </c>
      <c r="Q235" s="4" t="n"/>
    </row>
    <row r="236">
      <c r="A236" s="7" t="n"/>
      <c r="B236" t="str">
        <f>IF(ISNUMBER(A236),CHOOSE(WEEKDAY(A236,2),"lunes","martes","miércoles","jueves","viernes","sábado","domingo"),"")</f>
        <v/>
      </c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  <c r="L236" s="8" t="str">
        <f>IF(AND(ISNUMBER(A236),COUNT(D236:F236)&gt;0),N(D236)+N(E236)+N(F236),"")</f>
        <v/>
      </c>
      <c r="M236" s="8" t="str">
        <f>IF(AND(ISNUMBER(L236),ISNUMBER($C$5),$C$5&gt;=0),ROUND(L236/(1+$C$5/100),2),"")</f>
        <v/>
      </c>
      <c r="N236" s="8" t="str">
        <f>IF(AND(ISNUMBER(A236),COUNT(C236:D236)&gt;0),N(C236)+N(D236)-N(G236)-N(H236),"")</f>
        <v/>
      </c>
      <c r="O236" s="8" t="str">
        <f>IF(AND(ISNUMBER(N236),ISNUMBER(I236)),ROUND(I236-N236,2),"")</f>
        <v/>
      </c>
      <c r="P236" s="9" t="str">
        <f>IF(ISNUMBER(O236),IF(AND(ISNUMBER($G$5),ABS(O236)&gt;$G$5),"Revisa el descuadre",IF(AND(ISNUMBER(J236),ISNUMBER(E236)),IF(ROUND(J236-E236,2)&lt;&gt;0,"El datáfono no cuadra con la tarjeta",""),"")),IF(AND(ISNUMBER(J236),ISNUMBER(E236)),IF(ROUND(J236-E236,2)&lt;&gt;0,"El datáfono no cuadra con la tarjeta",""),""))</f>
        <v/>
      </c>
      <c r="Q236" s="4" t="n"/>
    </row>
    <row r="237">
      <c r="A237" s="7" t="n"/>
      <c r="B237" t="str">
        <f>IF(ISNUMBER(A237),CHOOSE(WEEKDAY(A237,2),"lunes","martes","miércoles","jueves","viernes","sábado","domingo"),"")</f>
        <v/>
      </c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  <c r="L237" s="8" t="str">
        <f>IF(AND(ISNUMBER(A237),COUNT(D237:F237)&gt;0),N(D237)+N(E237)+N(F237),"")</f>
        <v/>
      </c>
      <c r="M237" s="8" t="str">
        <f>IF(AND(ISNUMBER(L237),ISNUMBER($C$5),$C$5&gt;=0),ROUND(L237/(1+$C$5/100),2),"")</f>
        <v/>
      </c>
      <c r="N237" s="8" t="str">
        <f>IF(AND(ISNUMBER(A237),COUNT(C237:D237)&gt;0),N(C237)+N(D237)-N(G237)-N(H237),"")</f>
        <v/>
      </c>
      <c r="O237" s="8" t="str">
        <f>IF(AND(ISNUMBER(N237),ISNUMBER(I237)),ROUND(I237-N237,2),"")</f>
        <v/>
      </c>
      <c r="P237" s="9" t="str">
        <f>IF(ISNUMBER(O237),IF(AND(ISNUMBER($G$5),ABS(O237)&gt;$G$5),"Revisa el descuadre",IF(AND(ISNUMBER(J237),ISNUMBER(E237)),IF(ROUND(J237-E237,2)&lt;&gt;0,"El datáfono no cuadra con la tarjeta",""),"")),IF(AND(ISNUMBER(J237),ISNUMBER(E237)),IF(ROUND(J237-E237,2)&lt;&gt;0,"El datáfono no cuadra con la tarjeta",""),""))</f>
        <v/>
      </c>
      <c r="Q237" s="4" t="n"/>
    </row>
    <row r="238">
      <c r="A238" s="7" t="n"/>
      <c r="B238" t="str">
        <f>IF(ISNUMBER(A238),CHOOSE(WEEKDAY(A238,2),"lunes","martes","miércoles","jueves","viernes","sábado","domingo"),"")</f>
        <v/>
      </c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  <c r="L238" s="8" t="str">
        <f>IF(AND(ISNUMBER(A238),COUNT(D238:F238)&gt;0),N(D238)+N(E238)+N(F238),"")</f>
        <v/>
      </c>
      <c r="M238" s="8" t="str">
        <f>IF(AND(ISNUMBER(L238),ISNUMBER($C$5),$C$5&gt;=0),ROUND(L238/(1+$C$5/100),2),"")</f>
        <v/>
      </c>
      <c r="N238" s="8" t="str">
        <f>IF(AND(ISNUMBER(A238),COUNT(C238:D238)&gt;0),N(C238)+N(D238)-N(G238)-N(H238),"")</f>
        <v/>
      </c>
      <c r="O238" s="8" t="str">
        <f>IF(AND(ISNUMBER(N238),ISNUMBER(I238)),ROUND(I238-N238,2),"")</f>
        <v/>
      </c>
      <c r="P238" s="9" t="str">
        <f>IF(ISNUMBER(O238),IF(AND(ISNUMBER($G$5),ABS(O238)&gt;$G$5),"Revisa el descuadre",IF(AND(ISNUMBER(J238),ISNUMBER(E238)),IF(ROUND(J238-E238,2)&lt;&gt;0,"El datáfono no cuadra con la tarjeta",""),"")),IF(AND(ISNUMBER(J238),ISNUMBER(E238)),IF(ROUND(J238-E238,2)&lt;&gt;0,"El datáfono no cuadra con la tarjeta",""),""))</f>
        <v/>
      </c>
      <c r="Q238" s="4" t="n"/>
    </row>
    <row r="239">
      <c r="A239" s="7" t="n"/>
      <c r="B239" t="str">
        <f>IF(ISNUMBER(A239),CHOOSE(WEEKDAY(A239,2),"lunes","martes","miércoles","jueves","viernes","sábado","domingo"),"")</f>
        <v/>
      </c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  <c r="L239" s="8" t="str">
        <f>IF(AND(ISNUMBER(A239),COUNT(D239:F239)&gt;0),N(D239)+N(E239)+N(F239),"")</f>
        <v/>
      </c>
      <c r="M239" s="8" t="str">
        <f>IF(AND(ISNUMBER(L239),ISNUMBER($C$5),$C$5&gt;=0),ROUND(L239/(1+$C$5/100),2),"")</f>
        <v/>
      </c>
      <c r="N239" s="8" t="str">
        <f>IF(AND(ISNUMBER(A239),COUNT(C239:D239)&gt;0),N(C239)+N(D239)-N(G239)-N(H239),"")</f>
        <v/>
      </c>
      <c r="O239" s="8" t="str">
        <f>IF(AND(ISNUMBER(N239),ISNUMBER(I239)),ROUND(I239-N239,2),"")</f>
        <v/>
      </c>
      <c r="P239" s="9" t="str">
        <f>IF(ISNUMBER(O239),IF(AND(ISNUMBER($G$5),ABS(O239)&gt;$G$5),"Revisa el descuadre",IF(AND(ISNUMBER(J239),ISNUMBER(E239)),IF(ROUND(J239-E239,2)&lt;&gt;0,"El datáfono no cuadra con la tarjeta",""),"")),IF(AND(ISNUMBER(J239),ISNUMBER(E239)),IF(ROUND(J239-E239,2)&lt;&gt;0,"El datáfono no cuadra con la tarjeta",""),""))</f>
        <v/>
      </c>
      <c r="Q239" s="4" t="n"/>
    </row>
    <row r="240">
      <c r="A240" s="7" t="n"/>
      <c r="B240" t="str">
        <f>IF(ISNUMBER(A240),CHOOSE(WEEKDAY(A240,2),"lunes","martes","miércoles","jueves","viernes","sábado","domingo"),"")</f>
        <v/>
      </c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  <c r="L240" s="8" t="str">
        <f>IF(AND(ISNUMBER(A240),COUNT(D240:F240)&gt;0),N(D240)+N(E240)+N(F240),"")</f>
        <v/>
      </c>
      <c r="M240" s="8" t="str">
        <f>IF(AND(ISNUMBER(L240),ISNUMBER($C$5),$C$5&gt;=0),ROUND(L240/(1+$C$5/100),2),"")</f>
        <v/>
      </c>
      <c r="N240" s="8" t="str">
        <f>IF(AND(ISNUMBER(A240),COUNT(C240:D240)&gt;0),N(C240)+N(D240)-N(G240)-N(H240),"")</f>
        <v/>
      </c>
      <c r="O240" s="8" t="str">
        <f>IF(AND(ISNUMBER(N240),ISNUMBER(I240)),ROUND(I240-N240,2),"")</f>
        <v/>
      </c>
      <c r="P240" s="9" t="str">
        <f>IF(ISNUMBER(O240),IF(AND(ISNUMBER($G$5),ABS(O240)&gt;$G$5),"Revisa el descuadre",IF(AND(ISNUMBER(J240),ISNUMBER(E240)),IF(ROUND(J240-E240,2)&lt;&gt;0,"El datáfono no cuadra con la tarjeta",""),"")),IF(AND(ISNUMBER(J240),ISNUMBER(E240)),IF(ROUND(J240-E240,2)&lt;&gt;0,"El datáfono no cuadra con la tarjeta",""),""))</f>
        <v/>
      </c>
      <c r="Q240" s="4" t="n"/>
    </row>
    <row r="241">
      <c r="A241" s="7" t="n"/>
      <c r="B241" t="str">
        <f>IF(ISNUMBER(A241),CHOOSE(WEEKDAY(A241,2),"lunes","martes","miércoles","jueves","viernes","sábado","domingo"),"")</f>
        <v/>
      </c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  <c r="L241" s="8" t="str">
        <f>IF(AND(ISNUMBER(A241),COUNT(D241:F241)&gt;0),N(D241)+N(E241)+N(F241),"")</f>
        <v/>
      </c>
      <c r="M241" s="8" t="str">
        <f>IF(AND(ISNUMBER(L241),ISNUMBER($C$5),$C$5&gt;=0),ROUND(L241/(1+$C$5/100),2),"")</f>
        <v/>
      </c>
      <c r="N241" s="8" t="str">
        <f>IF(AND(ISNUMBER(A241),COUNT(C241:D241)&gt;0),N(C241)+N(D241)-N(G241)-N(H241),"")</f>
        <v/>
      </c>
      <c r="O241" s="8" t="str">
        <f>IF(AND(ISNUMBER(N241),ISNUMBER(I241)),ROUND(I241-N241,2),"")</f>
        <v/>
      </c>
      <c r="P241" s="9" t="str">
        <f>IF(ISNUMBER(O241),IF(AND(ISNUMBER($G$5),ABS(O241)&gt;$G$5),"Revisa el descuadre",IF(AND(ISNUMBER(J241),ISNUMBER(E241)),IF(ROUND(J241-E241,2)&lt;&gt;0,"El datáfono no cuadra con la tarjeta",""),"")),IF(AND(ISNUMBER(J241),ISNUMBER(E241)),IF(ROUND(J241-E241,2)&lt;&gt;0,"El datáfono no cuadra con la tarjeta",""),""))</f>
        <v/>
      </c>
      <c r="Q241" s="4" t="n"/>
    </row>
    <row r="242">
      <c r="A242" s="7" t="n"/>
      <c r="B242" t="str">
        <f>IF(ISNUMBER(A242),CHOOSE(WEEKDAY(A242,2),"lunes","martes","miércoles","jueves","viernes","sábado","domingo"),"")</f>
        <v/>
      </c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  <c r="L242" s="8" t="str">
        <f>IF(AND(ISNUMBER(A242),COUNT(D242:F242)&gt;0),N(D242)+N(E242)+N(F242),"")</f>
        <v/>
      </c>
      <c r="M242" s="8" t="str">
        <f>IF(AND(ISNUMBER(L242),ISNUMBER($C$5),$C$5&gt;=0),ROUND(L242/(1+$C$5/100),2),"")</f>
        <v/>
      </c>
      <c r="N242" s="8" t="str">
        <f>IF(AND(ISNUMBER(A242),COUNT(C242:D242)&gt;0),N(C242)+N(D242)-N(G242)-N(H242),"")</f>
        <v/>
      </c>
      <c r="O242" s="8" t="str">
        <f>IF(AND(ISNUMBER(N242),ISNUMBER(I242)),ROUND(I242-N242,2),"")</f>
        <v/>
      </c>
      <c r="P242" s="9" t="str">
        <f>IF(ISNUMBER(O242),IF(AND(ISNUMBER($G$5),ABS(O242)&gt;$G$5),"Revisa el descuadre",IF(AND(ISNUMBER(J242),ISNUMBER(E242)),IF(ROUND(J242-E242,2)&lt;&gt;0,"El datáfono no cuadra con la tarjeta",""),"")),IF(AND(ISNUMBER(J242),ISNUMBER(E242)),IF(ROUND(J242-E242,2)&lt;&gt;0,"El datáfono no cuadra con la tarjeta",""),""))</f>
        <v/>
      </c>
      <c r="Q242" s="4" t="n"/>
    </row>
    <row r="243">
      <c r="A243" s="7" t="n"/>
      <c r="B243" t="str">
        <f>IF(ISNUMBER(A243),CHOOSE(WEEKDAY(A243,2),"lunes","martes","miércoles","jueves","viernes","sábado","domingo"),"")</f>
        <v/>
      </c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  <c r="L243" s="8" t="str">
        <f>IF(AND(ISNUMBER(A243),COUNT(D243:F243)&gt;0),N(D243)+N(E243)+N(F243),"")</f>
        <v/>
      </c>
      <c r="M243" s="8" t="str">
        <f>IF(AND(ISNUMBER(L243),ISNUMBER($C$5),$C$5&gt;=0),ROUND(L243/(1+$C$5/100),2),"")</f>
        <v/>
      </c>
      <c r="N243" s="8" t="str">
        <f>IF(AND(ISNUMBER(A243),COUNT(C243:D243)&gt;0),N(C243)+N(D243)-N(G243)-N(H243),"")</f>
        <v/>
      </c>
      <c r="O243" s="8" t="str">
        <f>IF(AND(ISNUMBER(N243),ISNUMBER(I243)),ROUND(I243-N243,2),"")</f>
        <v/>
      </c>
      <c r="P243" s="9" t="str">
        <f>IF(ISNUMBER(O243),IF(AND(ISNUMBER($G$5),ABS(O243)&gt;$G$5),"Revisa el descuadre",IF(AND(ISNUMBER(J243),ISNUMBER(E243)),IF(ROUND(J243-E243,2)&lt;&gt;0,"El datáfono no cuadra con la tarjeta",""),"")),IF(AND(ISNUMBER(J243),ISNUMBER(E243)),IF(ROUND(J243-E243,2)&lt;&gt;0,"El datáfono no cuadra con la tarjeta",""),""))</f>
        <v/>
      </c>
      <c r="Q243" s="4" t="n"/>
    </row>
    <row r="244">
      <c r="A244" s="7" t="n"/>
      <c r="B244" t="str">
        <f>IF(ISNUMBER(A244),CHOOSE(WEEKDAY(A244,2),"lunes","martes","miércoles","jueves","viernes","sábado","domingo"),"")</f>
        <v/>
      </c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  <c r="L244" s="8" t="str">
        <f>IF(AND(ISNUMBER(A244),COUNT(D244:F244)&gt;0),N(D244)+N(E244)+N(F244),"")</f>
        <v/>
      </c>
      <c r="M244" s="8" t="str">
        <f>IF(AND(ISNUMBER(L244),ISNUMBER($C$5),$C$5&gt;=0),ROUND(L244/(1+$C$5/100),2),"")</f>
        <v/>
      </c>
      <c r="N244" s="8" t="str">
        <f>IF(AND(ISNUMBER(A244),COUNT(C244:D244)&gt;0),N(C244)+N(D244)-N(G244)-N(H244),"")</f>
        <v/>
      </c>
      <c r="O244" s="8" t="str">
        <f>IF(AND(ISNUMBER(N244),ISNUMBER(I244)),ROUND(I244-N244,2),"")</f>
        <v/>
      </c>
      <c r="P244" s="9" t="str">
        <f>IF(ISNUMBER(O244),IF(AND(ISNUMBER($G$5),ABS(O244)&gt;$G$5),"Revisa el descuadre",IF(AND(ISNUMBER(J244),ISNUMBER(E244)),IF(ROUND(J244-E244,2)&lt;&gt;0,"El datáfono no cuadra con la tarjeta",""),"")),IF(AND(ISNUMBER(J244),ISNUMBER(E244)),IF(ROUND(J244-E244,2)&lt;&gt;0,"El datáfono no cuadra con la tarjeta",""),""))</f>
        <v/>
      </c>
      <c r="Q244" s="4" t="n"/>
    </row>
    <row r="245">
      <c r="A245" s="7" t="n"/>
      <c r="B245" t="str">
        <f>IF(ISNUMBER(A245),CHOOSE(WEEKDAY(A245,2),"lunes","martes","miércoles","jueves","viernes","sábado","domingo"),"")</f>
        <v/>
      </c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  <c r="L245" s="8" t="str">
        <f>IF(AND(ISNUMBER(A245),COUNT(D245:F245)&gt;0),N(D245)+N(E245)+N(F245),"")</f>
        <v/>
      </c>
      <c r="M245" s="8" t="str">
        <f>IF(AND(ISNUMBER(L245),ISNUMBER($C$5),$C$5&gt;=0),ROUND(L245/(1+$C$5/100),2),"")</f>
        <v/>
      </c>
      <c r="N245" s="8" t="str">
        <f>IF(AND(ISNUMBER(A245),COUNT(C245:D245)&gt;0),N(C245)+N(D245)-N(G245)-N(H245),"")</f>
        <v/>
      </c>
      <c r="O245" s="8" t="str">
        <f>IF(AND(ISNUMBER(N245),ISNUMBER(I245)),ROUND(I245-N245,2),"")</f>
        <v/>
      </c>
      <c r="P245" s="9" t="str">
        <f>IF(ISNUMBER(O245),IF(AND(ISNUMBER($G$5),ABS(O245)&gt;$G$5),"Revisa el descuadre",IF(AND(ISNUMBER(J245),ISNUMBER(E245)),IF(ROUND(J245-E245,2)&lt;&gt;0,"El datáfono no cuadra con la tarjeta",""),"")),IF(AND(ISNUMBER(J245),ISNUMBER(E245)),IF(ROUND(J245-E245,2)&lt;&gt;0,"El datáfono no cuadra con la tarjeta",""),""))</f>
        <v/>
      </c>
      <c r="Q245" s="4" t="n"/>
    </row>
    <row r="246">
      <c r="A246" s="7" t="n"/>
      <c r="B246" t="str">
        <f>IF(ISNUMBER(A246),CHOOSE(WEEKDAY(A246,2),"lunes","martes","miércoles","jueves","viernes","sábado","domingo"),"")</f>
        <v/>
      </c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  <c r="L246" s="8" t="str">
        <f>IF(AND(ISNUMBER(A246),COUNT(D246:F246)&gt;0),N(D246)+N(E246)+N(F246),"")</f>
        <v/>
      </c>
      <c r="M246" s="8" t="str">
        <f>IF(AND(ISNUMBER(L246),ISNUMBER($C$5),$C$5&gt;=0),ROUND(L246/(1+$C$5/100),2),"")</f>
        <v/>
      </c>
      <c r="N246" s="8" t="str">
        <f>IF(AND(ISNUMBER(A246),COUNT(C246:D246)&gt;0),N(C246)+N(D246)-N(G246)-N(H246),"")</f>
        <v/>
      </c>
      <c r="O246" s="8" t="str">
        <f>IF(AND(ISNUMBER(N246),ISNUMBER(I246)),ROUND(I246-N246,2),"")</f>
        <v/>
      </c>
      <c r="P246" s="9" t="str">
        <f>IF(ISNUMBER(O246),IF(AND(ISNUMBER($G$5),ABS(O246)&gt;$G$5),"Revisa el descuadre",IF(AND(ISNUMBER(J246),ISNUMBER(E246)),IF(ROUND(J246-E246,2)&lt;&gt;0,"El datáfono no cuadra con la tarjeta",""),"")),IF(AND(ISNUMBER(J246),ISNUMBER(E246)),IF(ROUND(J246-E246,2)&lt;&gt;0,"El datáfono no cuadra con la tarjeta",""),""))</f>
        <v/>
      </c>
      <c r="Q246" s="4" t="n"/>
    </row>
    <row r="247">
      <c r="A247" s="7" t="n"/>
      <c r="B247" t="str">
        <f>IF(ISNUMBER(A247),CHOOSE(WEEKDAY(A247,2),"lunes","martes","miércoles","jueves","viernes","sábado","domingo"),"")</f>
        <v/>
      </c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  <c r="L247" s="8" t="str">
        <f>IF(AND(ISNUMBER(A247),COUNT(D247:F247)&gt;0),N(D247)+N(E247)+N(F247),"")</f>
        <v/>
      </c>
      <c r="M247" s="8" t="str">
        <f>IF(AND(ISNUMBER(L247),ISNUMBER($C$5),$C$5&gt;=0),ROUND(L247/(1+$C$5/100),2),"")</f>
        <v/>
      </c>
      <c r="N247" s="8" t="str">
        <f>IF(AND(ISNUMBER(A247),COUNT(C247:D247)&gt;0),N(C247)+N(D247)-N(G247)-N(H247),"")</f>
        <v/>
      </c>
      <c r="O247" s="8" t="str">
        <f>IF(AND(ISNUMBER(N247),ISNUMBER(I247)),ROUND(I247-N247,2),"")</f>
        <v/>
      </c>
      <c r="P247" s="9" t="str">
        <f>IF(ISNUMBER(O247),IF(AND(ISNUMBER($G$5),ABS(O247)&gt;$G$5),"Revisa el descuadre",IF(AND(ISNUMBER(J247),ISNUMBER(E247)),IF(ROUND(J247-E247,2)&lt;&gt;0,"El datáfono no cuadra con la tarjeta",""),"")),IF(AND(ISNUMBER(J247),ISNUMBER(E247)),IF(ROUND(J247-E247,2)&lt;&gt;0,"El datáfono no cuadra con la tarjeta",""),""))</f>
        <v/>
      </c>
      <c r="Q247" s="4" t="n"/>
    </row>
    <row r="248">
      <c r="A248" s="7" t="n"/>
      <c r="B248" t="str">
        <f>IF(ISNUMBER(A248),CHOOSE(WEEKDAY(A248,2),"lunes","martes","miércoles","jueves","viernes","sábado","domingo"),"")</f>
        <v/>
      </c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  <c r="L248" s="8" t="str">
        <f>IF(AND(ISNUMBER(A248),COUNT(D248:F248)&gt;0),N(D248)+N(E248)+N(F248),"")</f>
        <v/>
      </c>
      <c r="M248" s="8" t="str">
        <f>IF(AND(ISNUMBER(L248),ISNUMBER($C$5),$C$5&gt;=0),ROUND(L248/(1+$C$5/100),2),"")</f>
        <v/>
      </c>
      <c r="N248" s="8" t="str">
        <f>IF(AND(ISNUMBER(A248),COUNT(C248:D248)&gt;0),N(C248)+N(D248)-N(G248)-N(H248),"")</f>
        <v/>
      </c>
      <c r="O248" s="8" t="str">
        <f>IF(AND(ISNUMBER(N248),ISNUMBER(I248)),ROUND(I248-N248,2),"")</f>
        <v/>
      </c>
      <c r="P248" s="9" t="str">
        <f>IF(ISNUMBER(O248),IF(AND(ISNUMBER($G$5),ABS(O248)&gt;$G$5),"Revisa el descuadre",IF(AND(ISNUMBER(J248),ISNUMBER(E248)),IF(ROUND(J248-E248,2)&lt;&gt;0,"El datáfono no cuadra con la tarjeta",""),"")),IF(AND(ISNUMBER(J248),ISNUMBER(E248)),IF(ROUND(J248-E248,2)&lt;&gt;0,"El datáfono no cuadra con la tarjeta",""),""))</f>
        <v/>
      </c>
      <c r="Q248" s="4" t="n"/>
    </row>
    <row r="249">
      <c r="A249" s="7" t="n"/>
      <c r="B249" t="str">
        <f>IF(ISNUMBER(A249),CHOOSE(WEEKDAY(A249,2),"lunes","martes","miércoles","jueves","viernes","sábado","domingo"),"")</f>
        <v/>
      </c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  <c r="L249" s="8" t="str">
        <f>IF(AND(ISNUMBER(A249),COUNT(D249:F249)&gt;0),N(D249)+N(E249)+N(F249),"")</f>
        <v/>
      </c>
      <c r="M249" s="8" t="str">
        <f>IF(AND(ISNUMBER(L249),ISNUMBER($C$5),$C$5&gt;=0),ROUND(L249/(1+$C$5/100),2),"")</f>
        <v/>
      </c>
      <c r="N249" s="8" t="str">
        <f>IF(AND(ISNUMBER(A249),COUNT(C249:D249)&gt;0),N(C249)+N(D249)-N(G249)-N(H249),"")</f>
        <v/>
      </c>
      <c r="O249" s="8" t="str">
        <f>IF(AND(ISNUMBER(N249),ISNUMBER(I249)),ROUND(I249-N249,2),"")</f>
        <v/>
      </c>
      <c r="P249" s="9" t="str">
        <f>IF(ISNUMBER(O249),IF(AND(ISNUMBER($G$5),ABS(O249)&gt;$G$5),"Revisa el descuadre",IF(AND(ISNUMBER(J249),ISNUMBER(E249)),IF(ROUND(J249-E249,2)&lt;&gt;0,"El datáfono no cuadra con la tarjeta",""),"")),IF(AND(ISNUMBER(J249),ISNUMBER(E249)),IF(ROUND(J249-E249,2)&lt;&gt;0,"El datáfono no cuadra con la tarjeta",""),""))</f>
        <v/>
      </c>
      <c r="Q249" s="4" t="n"/>
    </row>
    <row r="250">
      <c r="A250" s="7" t="n"/>
      <c r="B250" t="str">
        <f>IF(ISNUMBER(A250),CHOOSE(WEEKDAY(A250,2),"lunes","martes","miércoles","jueves","viernes","sábado","domingo"),"")</f>
        <v/>
      </c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  <c r="L250" s="8" t="str">
        <f>IF(AND(ISNUMBER(A250),COUNT(D250:F250)&gt;0),N(D250)+N(E250)+N(F250),"")</f>
        <v/>
      </c>
      <c r="M250" s="8" t="str">
        <f>IF(AND(ISNUMBER(L250),ISNUMBER($C$5),$C$5&gt;=0),ROUND(L250/(1+$C$5/100),2),"")</f>
        <v/>
      </c>
      <c r="N250" s="8" t="str">
        <f>IF(AND(ISNUMBER(A250),COUNT(C250:D250)&gt;0),N(C250)+N(D250)-N(G250)-N(H250),"")</f>
        <v/>
      </c>
      <c r="O250" s="8" t="str">
        <f>IF(AND(ISNUMBER(N250),ISNUMBER(I250)),ROUND(I250-N250,2),"")</f>
        <v/>
      </c>
      <c r="P250" s="9" t="str">
        <f>IF(ISNUMBER(O250),IF(AND(ISNUMBER($G$5),ABS(O250)&gt;$G$5),"Revisa el descuadre",IF(AND(ISNUMBER(J250),ISNUMBER(E250)),IF(ROUND(J250-E250,2)&lt;&gt;0,"El datáfono no cuadra con la tarjeta",""),"")),IF(AND(ISNUMBER(J250),ISNUMBER(E250)),IF(ROUND(J250-E250,2)&lt;&gt;0,"El datáfono no cuadra con la tarjeta",""),""))</f>
        <v/>
      </c>
      <c r="Q250" s="4" t="n"/>
    </row>
    <row r="251">
      <c r="A251" s="7" t="n"/>
      <c r="B251" t="str">
        <f>IF(ISNUMBER(A251),CHOOSE(WEEKDAY(A251,2),"lunes","martes","miércoles","jueves","viernes","sábado","domingo"),"")</f>
        <v/>
      </c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  <c r="L251" s="8" t="str">
        <f>IF(AND(ISNUMBER(A251),COUNT(D251:F251)&gt;0),N(D251)+N(E251)+N(F251),"")</f>
        <v/>
      </c>
      <c r="M251" s="8" t="str">
        <f>IF(AND(ISNUMBER(L251),ISNUMBER($C$5),$C$5&gt;=0),ROUND(L251/(1+$C$5/100),2),"")</f>
        <v/>
      </c>
      <c r="N251" s="8" t="str">
        <f>IF(AND(ISNUMBER(A251),COUNT(C251:D251)&gt;0),N(C251)+N(D251)-N(G251)-N(H251),"")</f>
        <v/>
      </c>
      <c r="O251" s="8" t="str">
        <f>IF(AND(ISNUMBER(N251),ISNUMBER(I251)),ROUND(I251-N251,2),"")</f>
        <v/>
      </c>
      <c r="P251" s="9" t="str">
        <f>IF(ISNUMBER(O251),IF(AND(ISNUMBER($G$5),ABS(O251)&gt;$G$5),"Revisa el descuadre",IF(AND(ISNUMBER(J251),ISNUMBER(E251)),IF(ROUND(J251-E251,2)&lt;&gt;0,"El datáfono no cuadra con la tarjeta",""),"")),IF(AND(ISNUMBER(J251),ISNUMBER(E251)),IF(ROUND(J251-E251,2)&lt;&gt;0,"El datáfono no cuadra con la tarjeta",""),""))</f>
        <v/>
      </c>
      <c r="Q251" s="4" t="n"/>
    </row>
    <row r="252">
      <c r="A252" s="7" t="n"/>
      <c r="B252" t="str">
        <f>IF(ISNUMBER(A252),CHOOSE(WEEKDAY(A252,2),"lunes","martes","miércoles","jueves","viernes","sábado","domingo"),"")</f>
        <v/>
      </c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  <c r="L252" s="8" t="str">
        <f>IF(AND(ISNUMBER(A252),COUNT(D252:F252)&gt;0),N(D252)+N(E252)+N(F252),"")</f>
        <v/>
      </c>
      <c r="M252" s="8" t="str">
        <f>IF(AND(ISNUMBER(L252),ISNUMBER($C$5),$C$5&gt;=0),ROUND(L252/(1+$C$5/100),2),"")</f>
        <v/>
      </c>
      <c r="N252" s="8" t="str">
        <f>IF(AND(ISNUMBER(A252),COUNT(C252:D252)&gt;0),N(C252)+N(D252)-N(G252)-N(H252),"")</f>
        <v/>
      </c>
      <c r="O252" s="8" t="str">
        <f>IF(AND(ISNUMBER(N252),ISNUMBER(I252)),ROUND(I252-N252,2),"")</f>
        <v/>
      </c>
      <c r="P252" s="9" t="str">
        <f>IF(ISNUMBER(O252),IF(AND(ISNUMBER($G$5),ABS(O252)&gt;$G$5),"Revisa el descuadre",IF(AND(ISNUMBER(J252),ISNUMBER(E252)),IF(ROUND(J252-E252,2)&lt;&gt;0,"El datáfono no cuadra con la tarjeta",""),"")),IF(AND(ISNUMBER(J252),ISNUMBER(E252)),IF(ROUND(J252-E252,2)&lt;&gt;0,"El datáfono no cuadra con la tarjeta",""),""))</f>
        <v/>
      </c>
      <c r="Q252" s="4" t="n"/>
    </row>
    <row r="253">
      <c r="A253" s="7" t="n"/>
      <c r="B253" t="str">
        <f>IF(ISNUMBER(A253),CHOOSE(WEEKDAY(A253,2),"lunes","martes","miércoles","jueves","viernes","sábado","domingo"),"")</f>
        <v/>
      </c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  <c r="L253" s="8" t="str">
        <f>IF(AND(ISNUMBER(A253),COUNT(D253:F253)&gt;0),N(D253)+N(E253)+N(F253),"")</f>
        <v/>
      </c>
      <c r="M253" s="8" t="str">
        <f>IF(AND(ISNUMBER(L253),ISNUMBER($C$5),$C$5&gt;=0),ROUND(L253/(1+$C$5/100),2),"")</f>
        <v/>
      </c>
      <c r="N253" s="8" t="str">
        <f>IF(AND(ISNUMBER(A253),COUNT(C253:D253)&gt;0),N(C253)+N(D253)-N(G253)-N(H253),"")</f>
        <v/>
      </c>
      <c r="O253" s="8" t="str">
        <f>IF(AND(ISNUMBER(N253),ISNUMBER(I253)),ROUND(I253-N253,2),"")</f>
        <v/>
      </c>
      <c r="P253" s="9" t="str">
        <f>IF(ISNUMBER(O253),IF(AND(ISNUMBER($G$5),ABS(O253)&gt;$G$5),"Revisa el descuadre",IF(AND(ISNUMBER(J253),ISNUMBER(E253)),IF(ROUND(J253-E253,2)&lt;&gt;0,"El datáfono no cuadra con la tarjeta",""),"")),IF(AND(ISNUMBER(J253),ISNUMBER(E253)),IF(ROUND(J253-E253,2)&lt;&gt;0,"El datáfono no cuadra con la tarjeta",""),""))</f>
        <v/>
      </c>
      <c r="Q253" s="4" t="n"/>
    </row>
    <row r="254">
      <c r="A254" s="7" t="n"/>
      <c r="B254" t="str">
        <f>IF(ISNUMBER(A254),CHOOSE(WEEKDAY(A254,2),"lunes","martes","miércoles","jueves","viernes","sábado","domingo"),"")</f>
        <v/>
      </c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  <c r="L254" s="8" t="str">
        <f>IF(AND(ISNUMBER(A254),COUNT(D254:F254)&gt;0),N(D254)+N(E254)+N(F254),"")</f>
        <v/>
      </c>
      <c r="M254" s="8" t="str">
        <f>IF(AND(ISNUMBER(L254),ISNUMBER($C$5),$C$5&gt;=0),ROUND(L254/(1+$C$5/100),2),"")</f>
        <v/>
      </c>
      <c r="N254" s="8" t="str">
        <f>IF(AND(ISNUMBER(A254),COUNT(C254:D254)&gt;0),N(C254)+N(D254)-N(G254)-N(H254),"")</f>
        <v/>
      </c>
      <c r="O254" s="8" t="str">
        <f>IF(AND(ISNUMBER(N254),ISNUMBER(I254)),ROUND(I254-N254,2),"")</f>
        <v/>
      </c>
      <c r="P254" s="9" t="str">
        <f>IF(ISNUMBER(O254),IF(AND(ISNUMBER($G$5),ABS(O254)&gt;$G$5),"Revisa el descuadre",IF(AND(ISNUMBER(J254),ISNUMBER(E254)),IF(ROUND(J254-E254,2)&lt;&gt;0,"El datáfono no cuadra con la tarjeta",""),"")),IF(AND(ISNUMBER(J254),ISNUMBER(E254)),IF(ROUND(J254-E254,2)&lt;&gt;0,"El datáfono no cuadra con la tarjeta",""),""))</f>
        <v/>
      </c>
      <c r="Q254" s="4" t="n"/>
    </row>
    <row r="255">
      <c r="A255" s="7" t="n"/>
      <c r="B255" t="str">
        <f>IF(ISNUMBER(A255),CHOOSE(WEEKDAY(A255,2),"lunes","martes","miércoles","jueves","viernes","sábado","domingo"),"")</f>
        <v/>
      </c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  <c r="L255" s="8" t="str">
        <f>IF(AND(ISNUMBER(A255),COUNT(D255:F255)&gt;0),N(D255)+N(E255)+N(F255),"")</f>
        <v/>
      </c>
      <c r="M255" s="8" t="str">
        <f>IF(AND(ISNUMBER(L255),ISNUMBER($C$5),$C$5&gt;=0),ROUND(L255/(1+$C$5/100),2),"")</f>
        <v/>
      </c>
      <c r="N255" s="8" t="str">
        <f>IF(AND(ISNUMBER(A255),COUNT(C255:D255)&gt;0),N(C255)+N(D255)-N(G255)-N(H255),"")</f>
        <v/>
      </c>
      <c r="O255" s="8" t="str">
        <f>IF(AND(ISNUMBER(N255),ISNUMBER(I255)),ROUND(I255-N255,2),"")</f>
        <v/>
      </c>
      <c r="P255" s="9" t="str">
        <f>IF(ISNUMBER(O255),IF(AND(ISNUMBER($G$5),ABS(O255)&gt;$G$5),"Revisa el descuadre",IF(AND(ISNUMBER(J255),ISNUMBER(E255)),IF(ROUND(J255-E255,2)&lt;&gt;0,"El datáfono no cuadra con la tarjeta",""),"")),IF(AND(ISNUMBER(J255),ISNUMBER(E255)),IF(ROUND(J255-E255,2)&lt;&gt;0,"El datáfono no cuadra con la tarjeta",""),""))</f>
        <v/>
      </c>
      <c r="Q255" s="4" t="n"/>
    </row>
    <row r="256">
      <c r="A256" s="7" t="n"/>
      <c r="B256" t="str">
        <f>IF(ISNUMBER(A256),CHOOSE(WEEKDAY(A256,2),"lunes","martes","miércoles","jueves","viernes","sábado","domingo"),"")</f>
        <v/>
      </c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  <c r="L256" s="8" t="str">
        <f>IF(AND(ISNUMBER(A256),COUNT(D256:F256)&gt;0),N(D256)+N(E256)+N(F256),"")</f>
        <v/>
      </c>
      <c r="M256" s="8" t="str">
        <f>IF(AND(ISNUMBER(L256),ISNUMBER($C$5),$C$5&gt;=0),ROUND(L256/(1+$C$5/100),2),"")</f>
        <v/>
      </c>
      <c r="N256" s="8" t="str">
        <f>IF(AND(ISNUMBER(A256),COUNT(C256:D256)&gt;0),N(C256)+N(D256)-N(G256)-N(H256),"")</f>
        <v/>
      </c>
      <c r="O256" s="8" t="str">
        <f>IF(AND(ISNUMBER(N256),ISNUMBER(I256)),ROUND(I256-N256,2),"")</f>
        <v/>
      </c>
      <c r="P256" s="9" t="str">
        <f>IF(ISNUMBER(O256),IF(AND(ISNUMBER($G$5),ABS(O256)&gt;$G$5),"Revisa el descuadre",IF(AND(ISNUMBER(J256),ISNUMBER(E256)),IF(ROUND(J256-E256,2)&lt;&gt;0,"El datáfono no cuadra con la tarjeta",""),"")),IF(AND(ISNUMBER(J256),ISNUMBER(E256)),IF(ROUND(J256-E256,2)&lt;&gt;0,"El datáfono no cuadra con la tarjeta",""),""))</f>
        <v/>
      </c>
      <c r="Q256" s="4" t="n"/>
    </row>
    <row r="257">
      <c r="A257" s="7" t="n"/>
      <c r="B257" t="str">
        <f>IF(ISNUMBER(A257),CHOOSE(WEEKDAY(A257,2),"lunes","martes","miércoles","jueves","viernes","sábado","domingo"),"")</f>
        <v/>
      </c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  <c r="L257" s="8" t="str">
        <f>IF(AND(ISNUMBER(A257),COUNT(D257:F257)&gt;0),N(D257)+N(E257)+N(F257),"")</f>
        <v/>
      </c>
      <c r="M257" s="8" t="str">
        <f>IF(AND(ISNUMBER(L257),ISNUMBER($C$5),$C$5&gt;=0),ROUND(L257/(1+$C$5/100),2),"")</f>
        <v/>
      </c>
      <c r="N257" s="8" t="str">
        <f>IF(AND(ISNUMBER(A257),COUNT(C257:D257)&gt;0),N(C257)+N(D257)-N(G257)-N(H257),"")</f>
        <v/>
      </c>
      <c r="O257" s="8" t="str">
        <f>IF(AND(ISNUMBER(N257),ISNUMBER(I257)),ROUND(I257-N257,2),"")</f>
        <v/>
      </c>
      <c r="P257" s="9" t="str">
        <f>IF(ISNUMBER(O257),IF(AND(ISNUMBER($G$5),ABS(O257)&gt;$G$5),"Revisa el descuadre",IF(AND(ISNUMBER(J257),ISNUMBER(E257)),IF(ROUND(J257-E257,2)&lt;&gt;0,"El datáfono no cuadra con la tarjeta",""),"")),IF(AND(ISNUMBER(J257),ISNUMBER(E257)),IF(ROUND(J257-E257,2)&lt;&gt;0,"El datáfono no cuadra con la tarjeta",""),""))</f>
        <v/>
      </c>
      <c r="Q257" s="4" t="n"/>
    </row>
    <row r="258">
      <c r="A258" s="7" t="n"/>
      <c r="B258" t="str">
        <f>IF(ISNUMBER(A258),CHOOSE(WEEKDAY(A258,2),"lunes","martes","miércoles","jueves","viernes","sábado","domingo"),"")</f>
        <v/>
      </c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  <c r="L258" s="8" t="str">
        <f>IF(AND(ISNUMBER(A258),COUNT(D258:F258)&gt;0),N(D258)+N(E258)+N(F258),"")</f>
        <v/>
      </c>
      <c r="M258" s="8" t="str">
        <f>IF(AND(ISNUMBER(L258),ISNUMBER($C$5),$C$5&gt;=0),ROUND(L258/(1+$C$5/100),2),"")</f>
        <v/>
      </c>
      <c r="N258" s="8" t="str">
        <f>IF(AND(ISNUMBER(A258),COUNT(C258:D258)&gt;0),N(C258)+N(D258)-N(G258)-N(H258),"")</f>
        <v/>
      </c>
      <c r="O258" s="8" t="str">
        <f>IF(AND(ISNUMBER(N258),ISNUMBER(I258)),ROUND(I258-N258,2),"")</f>
        <v/>
      </c>
      <c r="P258" s="9" t="str">
        <f>IF(ISNUMBER(O258),IF(AND(ISNUMBER($G$5),ABS(O258)&gt;$G$5),"Revisa el descuadre",IF(AND(ISNUMBER(J258),ISNUMBER(E258)),IF(ROUND(J258-E258,2)&lt;&gt;0,"El datáfono no cuadra con la tarjeta",""),"")),IF(AND(ISNUMBER(J258),ISNUMBER(E258)),IF(ROUND(J258-E258,2)&lt;&gt;0,"El datáfono no cuadra con la tarjeta",""),""))</f>
        <v/>
      </c>
      <c r="Q258" s="4" t="n"/>
    </row>
    <row r="259">
      <c r="A259" s="7" t="n"/>
      <c r="B259" t="str">
        <f>IF(ISNUMBER(A259),CHOOSE(WEEKDAY(A259,2),"lunes","martes","miércoles","jueves","viernes","sábado","domingo"),"")</f>
        <v/>
      </c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  <c r="L259" s="8" t="str">
        <f>IF(AND(ISNUMBER(A259),COUNT(D259:F259)&gt;0),N(D259)+N(E259)+N(F259),"")</f>
        <v/>
      </c>
      <c r="M259" s="8" t="str">
        <f>IF(AND(ISNUMBER(L259),ISNUMBER($C$5),$C$5&gt;=0),ROUND(L259/(1+$C$5/100),2),"")</f>
        <v/>
      </c>
      <c r="N259" s="8" t="str">
        <f>IF(AND(ISNUMBER(A259),COUNT(C259:D259)&gt;0),N(C259)+N(D259)-N(G259)-N(H259),"")</f>
        <v/>
      </c>
      <c r="O259" s="8" t="str">
        <f>IF(AND(ISNUMBER(N259),ISNUMBER(I259)),ROUND(I259-N259,2),"")</f>
        <v/>
      </c>
      <c r="P259" s="9" t="str">
        <f>IF(ISNUMBER(O259),IF(AND(ISNUMBER($G$5),ABS(O259)&gt;$G$5),"Revisa el descuadre",IF(AND(ISNUMBER(J259),ISNUMBER(E259)),IF(ROUND(J259-E259,2)&lt;&gt;0,"El datáfono no cuadra con la tarjeta",""),"")),IF(AND(ISNUMBER(J259),ISNUMBER(E259)),IF(ROUND(J259-E259,2)&lt;&gt;0,"El datáfono no cuadra con la tarjeta",""),""))</f>
        <v/>
      </c>
      <c r="Q259" s="4" t="n"/>
    </row>
    <row r="260">
      <c r="A260" s="7" t="n"/>
      <c r="B260" t="str">
        <f>IF(ISNUMBER(A260),CHOOSE(WEEKDAY(A260,2),"lunes","martes","miércoles","jueves","viernes","sábado","domingo"),"")</f>
        <v/>
      </c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  <c r="L260" s="8" t="str">
        <f>IF(AND(ISNUMBER(A260),COUNT(D260:F260)&gt;0),N(D260)+N(E260)+N(F260),"")</f>
        <v/>
      </c>
      <c r="M260" s="8" t="str">
        <f>IF(AND(ISNUMBER(L260),ISNUMBER($C$5),$C$5&gt;=0),ROUND(L260/(1+$C$5/100),2),"")</f>
        <v/>
      </c>
      <c r="N260" s="8" t="str">
        <f>IF(AND(ISNUMBER(A260),COUNT(C260:D260)&gt;0),N(C260)+N(D260)-N(G260)-N(H260),"")</f>
        <v/>
      </c>
      <c r="O260" s="8" t="str">
        <f>IF(AND(ISNUMBER(N260),ISNUMBER(I260)),ROUND(I260-N260,2),"")</f>
        <v/>
      </c>
      <c r="P260" s="9" t="str">
        <f>IF(ISNUMBER(O260),IF(AND(ISNUMBER($G$5),ABS(O260)&gt;$G$5),"Revisa el descuadre",IF(AND(ISNUMBER(J260),ISNUMBER(E260)),IF(ROUND(J260-E260,2)&lt;&gt;0,"El datáfono no cuadra con la tarjeta",""),"")),IF(AND(ISNUMBER(J260),ISNUMBER(E260)),IF(ROUND(J260-E260,2)&lt;&gt;0,"El datáfono no cuadra con la tarjeta",""),""))</f>
        <v/>
      </c>
      <c r="Q260" s="4" t="n"/>
    </row>
    <row r="261">
      <c r="A261" s="7" t="n"/>
      <c r="B261" t="str">
        <f>IF(ISNUMBER(A261),CHOOSE(WEEKDAY(A261,2),"lunes","martes","miércoles","jueves","viernes","sábado","domingo"),"")</f>
        <v/>
      </c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  <c r="L261" s="8" t="str">
        <f>IF(AND(ISNUMBER(A261),COUNT(D261:F261)&gt;0),N(D261)+N(E261)+N(F261),"")</f>
        <v/>
      </c>
      <c r="M261" s="8" t="str">
        <f>IF(AND(ISNUMBER(L261),ISNUMBER($C$5),$C$5&gt;=0),ROUND(L261/(1+$C$5/100),2),"")</f>
        <v/>
      </c>
      <c r="N261" s="8" t="str">
        <f>IF(AND(ISNUMBER(A261),COUNT(C261:D261)&gt;0),N(C261)+N(D261)-N(G261)-N(H261),"")</f>
        <v/>
      </c>
      <c r="O261" s="8" t="str">
        <f>IF(AND(ISNUMBER(N261),ISNUMBER(I261)),ROUND(I261-N261,2),"")</f>
        <v/>
      </c>
      <c r="P261" s="9" t="str">
        <f>IF(ISNUMBER(O261),IF(AND(ISNUMBER($G$5),ABS(O261)&gt;$G$5),"Revisa el descuadre",IF(AND(ISNUMBER(J261),ISNUMBER(E261)),IF(ROUND(J261-E261,2)&lt;&gt;0,"El datáfono no cuadra con la tarjeta",""),"")),IF(AND(ISNUMBER(J261),ISNUMBER(E261)),IF(ROUND(J261-E261,2)&lt;&gt;0,"El datáfono no cuadra con la tarjeta",""),""))</f>
        <v/>
      </c>
      <c r="Q261" s="4" t="n"/>
    </row>
    <row r="262">
      <c r="A262" s="7" t="n"/>
      <c r="B262" t="str">
        <f>IF(ISNUMBER(A262),CHOOSE(WEEKDAY(A262,2),"lunes","martes","miércoles","jueves","viernes","sábado","domingo"),"")</f>
        <v/>
      </c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  <c r="L262" s="8" t="str">
        <f>IF(AND(ISNUMBER(A262),COUNT(D262:F262)&gt;0),N(D262)+N(E262)+N(F262),"")</f>
        <v/>
      </c>
      <c r="M262" s="8" t="str">
        <f>IF(AND(ISNUMBER(L262),ISNUMBER($C$5),$C$5&gt;=0),ROUND(L262/(1+$C$5/100),2),"")</f>
        <v/>
      </c>
      <c r="N262" s="8" t="str">
        <f>IF(AND(ISNUMBER(A262),COUNT(C262:D262)&gt;0),N(C262)+N(D262)-N(G262)-N(H262),"")</f>
        <v/>
      </c>
      <c r="O262" s="8" t="str">
        <f>IF(AND(ISNUMBER(N262),ISNUMBER(I262)),ROUND(I262-N262,2),"")</f>
        <v/>
      </c>
      <c r="P262" s="9" t="str">
        <f>IF(ISNUMBER(O262),IF(AND(ISNUMBER($G$5),ABS(O262)&gt;$G$5),"Revisa el descuadre",IF(AND(ISNUMBER(J262),ISNUMBER(E262)),IF(ROUND(J262-E262,2)&lt;&gt;0,"El datáfono no cuadra con la tarjeta",""),"")),IF(AND(ISNUMBER(J262),ISNUMBER(E262)),IF(ROUND(J262-E262,2)&lt;&gt;0,"El datáfono no cuadra con la tarjeta",""),""))</f>
        <v/>
      </c>
      <c r="Q262" s="4" t="n"/>
    </row>
    <row r="263">
      <c r="A263" s="7" t="n"/>
      <c r="B263" t="str">
        <f>IF(ISNUMBER(A263),CHOOSE(WEEKDAY(A263,2),"lunes","martes","miércoles","jueves","viernes","sábado","domingo"),"")</f>
        <v/>
      </c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  <c r="L263" s="8" t="str">
        <f>IF(AND(ISNUMBER(A263),COUNT(D263:F263)&gt;0),N(D263)+N(E263)+N(F263),"")</f>
        <v/>
      </c>
      <c r="M263" s="8" t="str">
        <f>IF(AND(ISNUMBER(L263),ISNUMBER($C$5),$C$5&gt;=0),ROUND(L263/(1+$C$5/100),2),"")</f>
        <v/>
      </c>
      <c r="N263" s="8" t="str">
        <f>IF(AND(ISNUMBER(A263),COUNT(C263:D263)&gt;0),N(C263)+N(D263)-N(G263)-N(H263),"")</f>
        <v/>
      </c>
      <c r="O263" s="8" t="str">
        <f>IF(AND(ISNUMBER(N263),ISNUMBER(I263)),ROUND(I263-N263,2),"")</f>
        <v/>
      </c>
      <c r="P263" s="9" t="str">
        <f>IF(ISNUMBER(O263),IF(AND(ISNUMBER($G$5),ABS(O263)&gt;$G$5),"Revisa el descuadre",IF(AND(ISNUMBER(J263),ISNUMBER(E263)),IF(ROUND(J263-E263,2)&lt;&gt;0,"El datáfono no cuadra con la tarjeta",""),"")),IF(AND(ISNUMBER(J263),ISNUMBER(E263)),IF(ROUND(J263-E263,2)&lt;&gt;0,"El datáfono no cuadra con la tarjeta",""),""))</f>
        <v/>
      </c>
      <c r="Q263" s="4" t="n"/>
    </row>
    <row r="264">
      <c r="A264" s="7" t="n"/>
      <c r="B264" t="str">
        <f>IF(ISNUMBER(A264),CHOOSE(WEEKDAY(A264,2),"lunes","martes","miércoles","jueves","viernes","sábado","domingo"),"")</f>
        <v/>
      </c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  <c r="L264" s="8" t="str">
        <f>IF(AND(ISNUMBER(A264),COUNT(D264:F264)&gt;0),N(D264)+N(E264)+N(F264),"")</f>
        <v/>
      </c>
      <c r="M264" s="8" t="str">
        <f>IF(AND(ISNUMBER(L264),ISNUMBER($C$5),$C$5&gt;=0),ROUND(L264/(1+$C$5/100),2),"")</f>
        <v/>
      </c>
      <c r="N264" s="8" t="str">
        <f>IF(AND(ISNUMBER(A264),COUNT(C264:D264)&gt;0),N(C264)+N(D264)-N(G264)-N(H264),"")</f>
        <v/>
      </c>
      <c r="O264" s="8" t="str">
        <f>IF(AND(ISNUMBER(N264),ISNUMBER(I264)),ROUND(I264-N264,2),"")</f>
        <v/>
      </c>
      <c r="P264" s="9" t="str">
        <f>IF(ISNUMBER(O264),IF(AND(ISNUMBER($G$5),ABS(O264)&gt;$G$5),"Revisa el descuadre",IF(AND(ISNUMBER(J264),ISNUMBER(E264)),IF(ROUND(J264-E264,2)&lt;&gt;0,"El datáfono no cuadra con la tarjeta",""),"")),IF(AND(ISNUMBER(J264),ISNUMBER(E264)),IF(ROUND(J264-E264,2)&lt;&gt;0,"El datáfono no cuadra con la tarjeta",""),""))</f>
        <v/>
      </c>
      <c r="Q264" s="4" t="n"/>
    </row>
    <row r="265">
      <c r="A265" s="7" t="n"/>
      <c r="B265" t="str">
        <f>IF(ISNUMBER(A265),CHOOSE(WEEKDAY(A265,2),"lunes","martes","miércoles","jueves","viernes","sábado","domingo"),"")</f>
        <v/>
      </c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  <c r="L265" s="8" t="str">
        <f>IF(AND(ISNUMBER(A265),COUNT(D265:F265)&gt;0),N(D265)+N(E265)+N(F265),"")</f>
        <v/>
      </c>
      <c r="M265" s="8" t="str">
        <f>IF(AND(ISNUMBER(L265),ISNUMBER($C$5),$C$5&gt;=0),ROUND(L265/(1+$C$5/100),2),"")</f>
        <v/>
      </c>
      <c r="N265" s="8" t="str">
        <f>IF(AND(ISNUMBER(A265),COUNT(C265:D265)&gt;0),N(C265)+N(D265)-N(G265)-N(H265),"")</f>
        <v/>
      </c>
      <c r="O265" s="8" t="str">
        <f>IF(AND(ISNUMBER(N265),ISNUMBER(I265)),ROUND(I265-N265,2),"")</f>
        <v/>
      </c>
      <c r="P265" s="9" t="str">
        <f>IF(ISNUMBER(O265),IF(AND(ISNUMBER($G$5),ABS(O265)&gt;$G$5),"Revisa el descuadre",IF(AND(ISNUMBER(J265),ISNUMBER(E265)),IF(ROUND(J265-E265,2)&lt;&gt;0,"El datáfono no cuadra con la tarjeta",""),"")),IF(AND(ISNUMBER(J265),ISNUMBER(E265)),IF(ROUND(J265-E265,2)&lt;&gt;0,"El datáfono no cuadra con la tarjeta",""),""))</f>
        <v/>
      </c>
      <c r="Q265" s="4" t="n"/>
    </row>
    <row r="266">
      <c r="A266" s="7" t="n"/>
      <c r="B266" t="str">
        <f>IF(ISNUMBER(A266),CHOOSE(WEEKDAY(A266,2),"lunes","martes","miércoles","jueves","viernes","sábado","domingo"),"")</f>
        <v/>
      </c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  <c r="L266" s="8" t="str">
        <f>IF(AND(ISNUMBER(A266),COUNT(D266:F266)&gt;0),N(D266)+N(E266)+N(F266),"")</f>
        <v/>
      </c>
      <c r="M266" s="8" t="str">
        <f>IF(AND(ISNUMBER(L266),ISNUMBER($C$5),$C$5&gt;=0),ROUND(L266/(1+$C$5/100),2),"")</f>
        <v/>
      </c>
      <c r="N266" s="8" t="str">
        <f>IF(AND(ISNUMBER(A266),COUNT(C266:D266)&gt;0),N(C266)+N(D266)-N(G266)-N(H266),"")</f>
        <v/>
      </c>
      <c r="O266" s="8" t="str">
        <f>IF(AND(ISNUMBER(N266),ISNUMBER(I266)),ROUND(I266-N266,2),"")</f>
        <v/>
      </c>
      <c r="P266" s="9" t="str">
        <f>IF(ISNUMBER(O266),IF(AND(ISNUMBER($G$5),ABS(O266)&gt;$G$5),"Revisa el descuadre",IF(AND(ISNUMBER(J266),ISNUMBER(E266)),IF(ROUND(J266-E266,2)&lt;&gt;0,"El datáfono no cuadra con la tarjeta",""),"")),IF(AND(ISNUMBER(J266),ISNUMBER(E266)),IF(ROUND(J266-E266,2)&lt;&gt;0,"El datáfono no cuadra con la tarjeta",""),""))</f>
        <v/>
      </c>
      <c r="Q266" s="4" t="n"/>
    </row>
    <row r="267">
      <c r="A267" s="7" t="n"/>
      <c r="B267" t="str">
        <f>IF(ISNUMBER(A267),CHOOSE(WEEKDAY(A267,2),"lunes","martes","miércoles","jueves","viernes","sábado","domingo"),"")</f>
        <v/>
      </c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  <c r="L267" s="8" t="str">
        <f>IF(AND(ISNUMBER(A267),COUNT(D267:F267)&gt;0),N(D267)+N(E267)+N(F267),"")</f>
        <v/>
      </c>
      <c r="M267" s="8" t="str">
        <f>IF(AND(ISNUMBER(L267),ISNUMBER($C$5),$C$5&gt;=0),ROUND(L267/(1+$C$5/100),2),"")</f>
        <v/>
      </c>
      <c r="N267" s="8" t="str">
        <f>IF(AND(ISNUMBER(A267),COUNT(C267:D267)&gt;0),N(C267)+N(D267)-N(G267)-N(H267),"")</f>
        <v/>
      </c>
      <c r="O267" s="8" t="str">
        <f>IF(AND(ISNUMBER(N267),ISNUMBER(I267)),ROUND(I267-N267,2),"")</f>
        <v/>
      </c>
      <c r="P267" s="9" t="str">
        <f>IF(ISNUMBER(O267),IF(AND(ISNUMBER($G$5),ABS(O267)&gt;$G$5),"Revisa el descuadre",IF(AND(ISNUMBER(J267),ISNUMBER(E267)),IF(ROUND(J267-E267,2)&lt;&gt;0,"El datáfono no cuadra con la tarjeta",""),"")),IF(AND(ISNUMBER(J267),ISNUMBER(E267)),IF(ROUND(J267-E267,2)&lt;&gt;0,"El datáfono no cuadra con la tarjeta",""),""))</f>
        <v/>
      </c>
      <c r="Q267" s="4" t="n"/>
    </row>
    <row r="268">
      <c r="A268" s="7" t="n"/>
      <c r="B268" t="str">
        <f>IF(ISNUMBER(A268),CHOOSE(WEEKDAY(A268,2),"lunes","martes","miércoles","jueves","viernes","sábado","domingo"),"")</f>
        <v/>
      </c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  <c r="L268" s="8" t="str">
        <f>IF(AND(ISNUMBER(A268),COUNT(D268:F268)&gt;0),N(D268)+N(E268)+N(F268),"")</f>
        <v/>
      </c>
      <c r="M268" s="8" t="str">
        <f>IF(AND(ISNUMBER(L268),ISNUMBER($C$5),$C$5&gt;=0),ROUND(L268/(1+$C$5/100),2),"")</f>
        <v/>
      </c>
      <c r="N268" s="8" t="str">
        <f>IF(AND(ISNUMBER(A268),COUNT(C268:D268)&gt;0),N(C268)+N(D268)-N(G268)-N(H268),"")</f>
        <v/>
      </c>
      <c r="O268" s="8" t="str">
        <f>IF(AND(ISNUMBER(N268),ISNUMBER(I268)),ROUND(I268-N268,2),"")</f>
        <v/>
      </c>
      <c r="P268" s="9" t="str">
        <f>IF(ISNUMBER(O268),IF(AND(ISNUMBER($G$5),ABS(O268)&gt;$G$5),"Revisa el descuadre",IF(AND(ISNUMBER(J268),ISNUMBER(E268)),IF(ROUND(J268-E268,2)&lt;&gt;0,"El datáfono no cuadra con la tarjeta",""),"")),IF(AND(ISNUMBER(J268),ISNUMBER(E268)),IF(ROUND(J268-E268,2)&lt;&gt;0,"El datáfono no cuadra con la tarjeta",""),""))</f>
        <v/>
      </c>
      <c r="Q268" s="4" t="n"/>
    </row>
    <row r="269">
      <c r="A269" s="7" t="n"/>
      <c r="B269" t="str">
        <f>IF(ISNUMBER(A269),CHOOSE(WEEKDAY(A269,2),"lunes","martes","miércoles","jueves","viernes","sábado","domingo"),"")</f>
        <v/>
      </c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  <c r="L269" s="8" t="str">
        <f>IF(AND(ISNUMBER(A269),COUNT(D269:F269)&gt;0),N(D269)+N(E269)+N(F269),"")</f>
        <v/>
      </c>
      <c r="M269" s="8" t="str">
        <f>IF(AND(ISNUMBER(L269),ISNUMBER($C$5),$C$5&gt;=0),ROUND(L269/(1+$C$5/100),2),"")</f>
        <v/>
      </c>
      <c r="N269" s="8" t="str">
        <f>IF(AND(ISNUMBER(A269),COUNT(C269:D269)&gt;0),N(C269)+N(D269)-N(G269)-N(H269),"")</f>
        <v/>
      </c>
      <c r="O269" s="8" t="str">
        <f>IF(AND(ISNUMBER(N269),ISNUMBER(I269)),ROUND(I269-N269,2),"")</f>
        <v/>
      </c>
      <c r="P269" s="9" t="str">
        <f>IF(ISNUMBER(O269),IF(AND(ISNUMBER($G$5),ABS(O269)&gt;$G$5),"Revisa el descuadre",IF(AND(ISNUMBER(J269),ISNUMBER(E269)),IF(ROUND(J269-E269,2)&lt;&gt;0,"El datáfono no cuadra con la tarjeta",""),"")),IF(AND(ISNUMBER(J269),ISNUMBER(E269)),IF(ROUND(J269-E269,2)&lt;&gt;0,"El datáfono no cuadra con la tarjeta",""),""))</f>
        <v/>
      </c>
      <c r="Q269" s="4" t="n"/>
    </row>
    <row r="270">
      <c r="A270" s="7" t="n"/>
      <c r="B270" t="str">
        <f>IF(ISNUMBER(A270),CHOOSE(WEEKDAY(A270,2),"lunes","martes","miércoles","jueves","viernes","sábado","domingo"),"")</f>
        <v/>
      </c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  <c r="L270" s="8" t="str">
        <f>IF(AND(ISNUMBER(A270),COUNT(D270:F270)&gt;0),N(D270)+N(E270)+N(F270),"")</f>
        <v/>
      </c>
      <c r="M270" s="8" t="str">
        <f>IF(AND(ISNUMBER(L270),ISNUMBER($C$5),$C$5&gt;=0),ROUND(L270/(1+$C$5/100),2),"")</f>
        <v/>
      </c>
      <c r="N270" s="8" t="str">
        <f>IF(AND(ISNUMBER(A270),COUNT(C270:D270)&gt;0),N(C270)+N(D270)-N(G270)-N(H270),"")</f>
        <v/>
      </c>
      <c r="O270" s="8" t="str">
        <f>IF(AND(ISNUMBER(N270),ISNUMBER(I270)),ROUND(I270-N270,2),"")</f>
        <v/>
      </c>
      <c r="P270" s="9" t="str">
        <f>IF(ISNUMBER(O270),IF(AND(ISNUMBER($G$5),ABS(O270)&gt;$G$5),"Revisa el descuadre",IF(AND(ISNUMBER(J270),ISNUMBER(E270)),IF(ROUND(J270-E270,2)&lt;&gt;0,"El datáfono no cuadra con la tarjeta",""),"")),IF(AND(ISNUMBER(J270),ISNUMBER(E270)),IF(ROUND(J270-E270,2)&lt;&gt;0,"El datáfono no cuadra con la tarjeta",""),""))</f>
        <v/>
      </c>
      <c r="Q270" s="4" t="n"/>
    </row>
    <row r="271">
      <c r="A271" s="7" t="n"/>
      <c r="B271" t="str">
        <f>IF(ISNUMBER(A271),CHOOSE(WEEKDAY(A271,2),"lunes","martes","miércoles","jueves","viernes","sábado","domingo"),"")</f>
        <v/>
      </c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  <c r="L271" s="8" t="str">
        <f>IF(AND(ISNUMBER(A271),COUNT(D271:F271)&gt;0),N(D271)+N(E271)+N(F271),"")</f>
        <v/>
      </c>
      <c r="M271" s="8" t="str">
        <f>IF(AND(ISNUMBER(L271),ISNUMBER($C$5),$C$5&gt;=0),ROUND(L271/(1+$C$5/100),2),"")</f>
        <v/>
      </c>
      <c r="N271" s="8" t="str">
        <f>IF(AND(ISNUMBER(A271),COUNT(C271:D271)&gt;0),N(C271)+N(D271)-N(G271)-N(H271),"")</f>
        <v/>
      </c>
      <c r="O271" s="8" t="str">
        <f>IF(AND(ISNUMBER(N271),ISNUMBER(I271)),ROUND(I271-N271,2),"")</f>
        <v/>
      </c>
      <c r="P271" s="9" t="str">
        <f>IF(ISNUMBER(O271),IF(AND(ISNUMBER($G$5),ABS(O271)&gt;$G$5),"Revisa el descuadre",IF(AND(ISNUMBER(J271),ISNUMBER(E271)),IF(ROUND(J271-E271,2)&lt;&gt;0,"El datáfono no cuadra con la tarjeta",""),"")),IF(AND(ISNUMBER(J271),ISNUMBER(E271)),IF(ROUND(J271-E271,2)&lt;&gt;0,"El datáfono no cuadra con la tarjeta",""),""))</f>
        <v/>
      </c>
      <c r="Q271" s="4" t="n"/>
    </row>
    <row r="272">
      <c r="A272" s="7" t="n"/>
      <c r="B272" t="str">
        <f>IF(ISNUMBER(A272),CHOOSE(WEEKDAY(A272,2),"lunes","martes","miércoles","jueves","viernes","sábado","domingo"),"")</f>
        <v/>
      </c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  <c r="L272" s="8" t="str">
        <f>IF(AND(ISNUMBER(A272),COUNT(D272:F272)&gt;0),N(D272)+N(E272)+N(F272),"")</f>
        <v/>
      </c>
      <c r="M272" s="8" t="str">
        <f>IF(AND(ISNUMBER(L272),ISNUMBER($C$5),$C$5&gt;=0),ROUND(L272/(1+$C$5/100),2),"")</f>
        <v/>
      </c>
      <c r="N272" s="8" t="str">
        <f>IF(AND(ISNUMBER(A272),COUNT(C272:D272)&gt;0),N(C272)+N(D272)-N(G272)-N(H272),"")</f>
        <v/>
      </c>
      <c r="O272" s="8" t="str">
        <f>IF(AND(ISNUMBER(N272),ISNUMBER(I272)),ROUND(I272-N272,2),"")</f>
        <v/>
      </c>
      <c r="P272" s="9" t="str">
        <f>IF(ISNUMBER(O272),IF(AND(ISNUMBER($G$5),ABS(O272)&gt;$G$5),"Revisa el descuadre",IF(AND(ISNUMBER(J272),ISNUMBER(E272)),IF(ROUND(J272-E272,2)&lt;&gt;0,"El datáfono no cuadra con la tarjeta",""),"")),IF(AND(ISNUMBER(J272),ISNUMBER(E272)),IF(ROUND(J272-E272,2)&lt;&gt;0,"El datáfono no cuadra con la tarjeta",""),""))</f>
        <v/>
      </c>
      <c r="Q272" s="4" t="n"/>
    </row>
    <row r="273">
      <c r="A273" s="7" t="n"/>
      <c r="B273" t="str">
        <f>IF(ISNUMBER(A273),CHOOSE(WEEKDAY(A273,2),"lunes","martes","miércoles","jueves","viernes","sábado","domingo"),"")</f>
        <v/>
      </c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  <c r="L273" s="8" t="str">
        <f>IF(AND(ISNUMBER(A273),COUNT(D273:F273)&gt;0),N(D273)+N(E273)+N(F273),"")</f>
        <v/>
      </c>
      <c r="M273" s="8" t="str">
        <f>IF(AND(ISNUMBER(L273),ISNUMBER($C$5),$C$5&gt;=0),ROUND(L273/(1+$C$5/100),2),"")</f>
        <v/>
      </c>
      <c r="N273" s="8" t="str">
        <f>IF(AND(ISNUMBER(A273),COUNT(C273:D273)&gt;0),N(C273)+N(D273)-N(G273)-N(H273),"")</f>
        <v/>
      </c>
      <c r="O273" s="8" t="str">
        <f>IF(AND(ISNUMBER(N273),ISNUMBER(I273)),ROUND(I273-N273,2),"")</f>
        <v/>
      </c>
      <c r="P273" s="9" t="str">
        <f>IF(ISNUMBER(O273),IF(AND(ISNUMBER($G$5),ABS(O273)&gt;$G$5),"Revisa el descuadre",IF(AND(ISNUMBER(J273),ISNUMBER(E273)),IF(ROUND(J273-E273,2)&lt;&gt;0,"El datáfono no cuadra con la tarjeta",""),"")),IF(AND(ISNUMBER(J273),ISNUMBER(E273)),IF(ROUND(J273-E273,2)&lt;&gt;0,"El datáfono no cuadra con la tarjeta",""),""))</f>
        <v/>
      </c>
      <c r="Q273" s="4" t="n"/>
    </row>
    <row r="274">
      <c r="A274" s="7" t="n"/>
      <c r="B274" t="str">
        <f>IF(ISNUMBER(A274),CHOOSE(WEEKDAY(A274,2),"lunes","martes","miércoles","jueves","viernes","sábado","domingo"),"")</f>
        <v/>
      </c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  <c r="L274" s="8" t="str">
        <f>IF(AND(ISNUMBER(A274),COUNT(D274:F274)&gt;0),N(D274)+N(E274)+N(F274),"")</f>
        <v/>
      </c>
      <c r="M274" s="8" t="str">
        <f>IF(AND(ISNUMBER(L274),ISNUMBER($C$5),$C$5&gt;=0),ROUND(L274/(1+$C$5/100),2),"")</f>
        <v/>
      </c>
      <c r="N274" s="8" t="str">
        <f>IF(AND(ISNUMBER(A274),COUNT(C274:D274)&gt;0),N(C274)+N(D274)-N(G274)-N(H274),"")</f>
        <v/>
      </c>
      <c r="O274" s="8" t="str">
        <f>IF(AND(ISNUMBER(N274),ISNUMBER(I274)),ROUND(I274-N274,2),"")</f>
        <v/>
      </c>
      <c r="P274" s="9" t="str">
        <f>IF(ISNUMBER(O274),IF(AND(ISNUMBER($G$5),ABS(O274)&gt;$G$5),"Revisa el descuadre",IF(AND(ISNUMBER(J274),ISNUMBER(E274)),IF(ROUND(J274-E274,2)&lt;&gt;0,"El datáfono no cuadra con la tarjeta",""),"")),IF(AND(ISNUMBER(J274),ISNUMBER(E274)),IF(ROUND(J274-E274,2)&lt;&gt;0,"El datáfono no cuadra con la tarjeta",""),""))</f>
        <v/>
      </c>
      <c r="Q274" s="4" t="n"/>
    </row>
    <row r="275">
      <c r="A275" s="7" t="n"/>
      <c r="B275" t="str">
        <f>IF(ISNUMBER(A275),CHOOSE(WEEKDAY(A275,2),"lunes","martes","miércoles","jueves","viernes","sábado","domingo"),"")</f>
        <v/>
      </c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  <c r="L275" s="8" t="str">
        <f>IF(AND(ISNUMBER(A275),COUNT(D275:F275)&gt;0),N(D275)+N(E275)+N(F275),"")</f>
        <v/>
      </c>
      <c r="M275" s="8" t="str">
        <f>IF(AND(ISNUMBER(L275),ISNUMBER($C$5),$C$5&gt;=0),ROUND(L275/(1+$C$5/100),2),"")</f>
        <v/>
      </c>
      <c r="N275" s="8" t="str">
        <f>IF(AND(ISNUMBER(A275),COUNT(C275:D275)&gt;0),N(C275)+N(D275)-N(G275)-N(H275),"")</f>
        <v/>
      </c>
      <c r="O275" s="8" t="str">
        <f>IF(AND(ISNUMBER(N275),ISNUMBER(I275)),ROUND(I275-N275,2),"")</f>
        <v/>
      </c>
      <c r="P275" s="9" t="str">
        <f>IF(ISNUMBER(O275),IF(AND(ISNUMBER($G$5),ABS(O275)&gt;$G$5),"Revisa el descuadre",IF(AND(ISNUMBER(J275),ISNUMBER(E275)),IF(ROUND(J275-E275,2)&lt;&gt;0,"El datáfono no cuadra con la tarjeta",""),"")),IF(AND(ISNUMBER(J275),ISNUMBER(E275)),IF(ROUND(J275-E275,2)&lt;&gt;0,"El datáfono no cuadra con la tarjeta",""),""))</f>
        <v/>
      </c>
      <c r="Q275" s="4" t="n"/>
    </row>
    <row r="276">
      <c r="A276" s="7" t="n"/>
      <c r="B276" t="str">
        <f>IF(ISNUMBER(A276),CHOOSE(WEEKDAY(A276,2),"lunes","martes","miércoles","jueves","viernes","sábado","domingo"),"")</f>
        <v/>
      </c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  <c r="L276" s="8" t="str">
        <f>IF(AND(ISNUMBER(A276),COUNT(D276:F276)&gt;0),N(D276)+N(E276)+N(F276),"")</f>
        <v/>
      </c>
      <c r="M276" s="8" t="str">
        <f>IF(AND(ISNUMBER(L276),ISNUMBER($C$5),$C$5&gt;=0),ROUND(L276/(1+$C$5/100),2),"")</f>
        <v/>
      </c>
      <c r="N276" s="8" t="str">
        <f>IF(AND(ISNUMBER(A276),COUNT(C276:D276)&gt;0),N(C276)+N(D276)-N(G276)-N(H276),"")</f>
        <v/>
      </c>
      <c r="O276" s="8" t="str">
        <f>IF(AND(ISNUMBER(N276),ISNUMBER(I276)),ROUND(I276-N276,2),"")</f>
        <v/>
      </c>
      <c r="P276" s="9" t="str">
        <f>IF(ISNUMBER(O276),IF(AND(ISNUMBER($G$5),ABS(O276)&gt;$G$5),"Revisa el descuadre",IF(AND(ISNUMBER(J276),ISNUMBER(E276)),IF(ROUND(J276-E276,2)&lt;&gt;0,"El datáfono no cuadra con la tarjeta",""),"")),IF(AND(ISNUMBER(J276),ISNUMBER(E276)),IF(ROUND(J276-E276,2)&lt;&gt;0,"El datáfono no cuadra con la tarjeta",""),""))</f>
        <v/>
      </c>
      <c r="Q276" s="4" t="n"/>
    </row>
    <row r="277">
      <c r="A277" s="7" t="n"/>
      <c r="B277" t="str">
        <f>IF(ISNUMBER(A277),CHOOSE(WEEKDAY(A277,2),"lunes","martes","miércoles","jueves","viernes","sábado","domingo"),"")</f>
        <v/>
      </c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  <c r="L277" s="8" t="str">
        <f>IF(AND(ISNUMBER(A277),COUNT(D277:F277)&gt;0),N(D277)+N(E277)+N(F277),"")</f>
        <v/>
      </c>
      <c r="M277" s="8" t="str">
        <f>IF(AND(ISNUMBER(L277),ISNUMBER($C$5),$C$5&gt;=0),ROUND(L277/(1+$C$5/100),2),"")</f>
        <v/>
      </c>
      <c r="N277" s="8" t="str">
        <f>IF(AND(ISNUMBER(A277),COUNT(C277:D277)&gt;0),N(C277)+N(D277)-N(G277)-N(H277),"")</f>
        <v/>
      </c>
      <c r="O277" s="8" t="str">
        <f>IF(AND(ISNUMBER(N277),ISNUMBER(I277)),ROUND(I277-N277,2),"")</f>
        <v/>
      </c>
      <c r="P277" s="9" t="str">
        <f>IF(ISNUMBER(O277),IF(AND(ISNUMBER($G$5),ABS(O277)&gt;$G$5),"Revisa el descuadre",IF(AND(ISNUMBER(J277),ISNUMBER(E277)),IF(ROUND(J277-E277,2)&lt;&gt;0,"El datáfono no cuadra con la tarjeta",""),"")),IF(AND(ISNUMBER(J277),ISNUMBER(E277)),IF(ROUND(J277-E277,2)&lt;&gt;0,"El datáfono no cuadra con la tarjeta",""),""))</f>
        <v/>
      </c>
      <c r="Q277" s="4" t="n"/>
    </row>
    <row r="278">
      <c r="A278" s="7" t="n"/>
      <c r="B278" t="str">
        <f>IF(ISNUMBER(A278),CHOOSE(WEEKDAY(A278,2),"lunes","martes","miércoles","jueves","viernes","sábado","domingo"),"")</f>
        <v/>
      </c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  <c r="L278" s="8" t="str">
        <f>IF(AND(ISNUMBER(A278),COUNT(D278:F278)&gt;0),N(D278)+N(E278)+N(F278),"")</f>
        <v/>
      </c>
      <c r="M278" s="8" t="str">
        <f>IF(AND(ISNUMBER(L278),ISNUMBER($C$5),$C$5&gt;=0),ROUND(L278/(1+$C$5/100),2),"")</f>
        <v/>
      </c>
      <c r="N278" s="8" t="str">
        <f>IF(AND(ISNUMBER(A278),COUNT(C278:D278)&gt;0),N(C278)+N(D278)-N(G278)-N(H278),"")</f>
        <v/>
      </c>
      <c r="O278" s="8" t="str">
        <f>IF(AND(ISNUMBER(N278),ISNUMBER(I278)),ROUND(I278-N278,2),"")</f>
        <v/>
      </c>
      <c r="P278" s="9" t="str">
        <f>IF(ISNUMBER(O278),IF(AND(ISNUMBER($G$5),ABS(O278)&gt;$G$5),"Revisa el descuadre",IF(AND(ISNUMBER(J278),ISNUMBER(E278)),IF(ROUND(J278-E278,2)&lt;&gt;0,"El datáfono no cuadra con la tarjeta",""),"")),IF(AND(ISNUMBER(J278),ISNUMBER(E278)),IF(ROUND(J278-E278,2)&lt;&gt;0,"El datáfono no cuadra con la tarjeta",""),""))</f>
        <v/>
      </c>
      <c r="Q278" s="4" t="n"/>
    </row>
    <row r="279">
      <c r="A279" s="7" t="n"/>
      <c r="B279" t="str">
        <f>IF(ISNUMBER(A279),CHOOSE(WEEKDAY(A279,2),"lunes","martes","miércoles","jueves","viernes","sábado","domingo"),"")</f>
        <v/>
      </c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  <c r="L279" s="8" t="str">
        <f>IF(AND(ISNUMBER(A279),COUNT(D279:F279)&gt;0),N(D279)+N(E279)+N(F279),"")</f>
        <v/>
      </c>
      <c r="M279" s="8" t="str">
        <f>IF(AND(ISNUMBER(L279),ISNUMBER($C$5),$C$5&gt;=0),ROUND(L279/(1+$C$5/100),2),"")</f>
        <v/>
      </c>
      <c r="N279" s="8" t="str">
        <f>IF(AND(ISNUMBER(A279),COUNT(C279:D279)&gt;0),N(C279)+N(D279)-N(G279)-N(H279),"")</f>
        <v/>
      </c>
      <c r="O279" s="8" t="str">
        <f>IF(AND(ISNUMBER(N279),ISNUMBER(I279)),ROUND(I279-N279,2),"")</f>
        <v/>
      </c>
      <c r="P279" s="9" t="str">
        <f>IF(ISNUMBER(O279),IF(AND(ISNUMBER($G$5),ABS(O279)&gt;$G$5),"Revisa el descuadre",IF(AND(ISNUMBER(J279),ISNUMBER(E279)),IF(ROUND(J279-E279,2)&lt;&gt;0,"El datáfono no cuadra con la tarjeta",""),"")),IF(AND(ISNUMBER(J279),ISNUMBER(E279)),IF(ROUND(J279-E279,2)&lt;&gt;0,"El datáfono no cuadra con la tarjeta",""),""))</f>
        <v/>
      </c>
      <c r="Q279" s="4" t="n"/>
    </row>
    <row r="280">
      <c r="A280" s="7" t="n"/>
      <c r="B280" t="str">
        <f>IF(ISNUMBER(A280),CHOOSE(WEEKDAY(A280,2),"lunes","martes","miércoles","jueves","viernes","sábado","domingo"),"")</f>
        <v/>
      </c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  <c r="L280" s="8" t="str">
        <f>IF(AND(ISNUMBER(A280),COUNT(D280:F280)&gt;0),N(D280)+N(E280)+N(F280),"")</f>
        <v/>
      </c>
      <c r="M280" s="8" t="str">
        <f>IF(AND(ISNUMBER(L280),ISNUMBER($C$5),$C$5&gt;=0),ROUND(L280/(1+$C$5/100),2),"")</f>
        <v/>
      </c>
      <c r="N280" s="8" t="str">
        <f>IF(AND(ISNUMBER(A280),COUNT(C280:D280)&gt;0),N(C280)+N(D280)-N(G280)-N(H280),"")</f>
        <v/>
      </c>
      <c r="O280" s="8" t="str">
        <f>IF(AND(ISNUMBER(N280),ISNUMBER(I280)),ROUND(I280-N280,2),"")</f>
        <v/>
      </c>
      <c r="P280" s="9" t="str">
        <f>IF(ISNUMBER(O280),IF(AND(ISNUMBER($G$5),ABS(O280)&gt;$G$5),"Revisa el descuadre",IF(AND(ISNUMBER(J280),ISNUMBER(E280)),IF(ROUND(J280-E280,2)&lt;&gt;0,"El datáfono no cuadra con la tarjeta",""),"")),IF(AND(ISNUMBER(J280),ISNUMBER(E280)),IF(ROUND(J280-E280,2)&lt;&gt;0,"El datáfono no cuadra con la tarjeta",""),""))</f>
        <v/>
      </c>
      <c r="Q280" s="4" t="n"/>
    </row>
    <row r="281">
      <c r="A281" s="7" t="n"/>
      <c r="B281" t="str">
        <f>IF(ISNUMBER(A281),CHOOSE(WEEKDAY(A281,2),"lunes","martes","miércoles","jueves","viernes","sábado","domingo"),"")</f>
        <v/>
      </c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  <c r="L281" s="8" t="str">
        <f>IF(AND(ISNUMBER(A281),COUNT(D281:F281)&gt;0),N(D281)+N(E281)+N(F281),"")</f>
        <v/>
      </c>
      <c r="M281" s="8" t="str">
        <f>IF(AND(ISNUMBER(L281),ISNUMBER($C$5),$C$5&gt;=0),ROUND(L281/(1+$C$5/100),2),"")</f>
        <v/>
      </c>
      <c r="N281" s="8" t="str">
        <f>IF(AND(ISNUMBER(A281),COUNT(C281:D281)&gt;0),N(C281)+N(D281)-N(G281)-N(H281),"")</f>
        <v/>
      </c>
      <c r="O281" s="8" t="str">
        <f>IF(AND(ISNUMBER(N281),ISNUMBER(I281)),ROUND(I281-N281,2),"")</f>
        <v/>
      </c>
      <c r="P281" s="9" t="str">
        <f>IF(ISNUMBER(O281),IF(AND(ISNUMBER($G$5),ABS(O281)&gt;$G$5),"Revisa el descuadre",IF(AND(ISNUMBER(J281),ISNUMBER(E281)),IF(ROUND(J281-E281,2)&lt;&gt;0,"El datáfono no cuadra con la tarjeta",""),"")),IF(AND(ISNUMBER(J281),ISNUMBER(E281)),IF(ROUND(J281-E281,2)&lt;&gt;0,"El datáfono no cuadra con la tarjeta",""),""))</f>
        <v/>
      </c>
      <c r="Q281" s="4" t="n"/>
    </row>
    <row r="282">
      <c r="A282" s="7" t="n"/>
      <c r="B282" t="str">
        <f>IF(ISNUMBER(A282),CHOOSE(WEEKDAY(A282,2),"lunes","martes","miércoles","jueves","viernes","sábado","domingo"),"")</f>
        <v/>
      </c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  <c r="L282" s="8" t="str">
        <f>IF(AND(ISNUMBER(A282),COUNT(D282:F282)&gt;0),N(D282)+N(E282)+N(F282),"")</f>
        <v/>
      </c>
      <c r="M282" s="8" t="str">
        <f>IF(AND(ISNUMBER(L282),ISNUMBER($C$5),$C$5&gt;=0),ROUND(L282/(1+$C$5/100),2),"")</f>
        <v/>
      </c>
      <c r="N282" s="8" t="str">
        <f>IF(AND(ISNUMBER(A282),COUNT(C282:D282)&gt;0),N(C282)+N(D282)-N(G282)-N(H282),"")</f>
        <v/>
      </c>
      <c r="O282" s="8" t="str">
        <f>IF(AND(ISNUMBER(N282),ISNUMBER(I282)),ROUND(I282-N282,2),"")</f>
        <v/>
      </c>
      <c r="P282" s="9" t="str">
        <f>IF(ISNUMBER(O282),IF(AND(ISNUMBER($G$5),ABS(O282)&gt;$G$5),"Revisa el descuadre",IF(AND(ISNUMBER(J282),ISNUMBER(E282)),IF(ROUND(J282-E282,2)&lt;&gt;0,"El datáfono no cuadra con la tarjeta",""),"")),IF(AND(ISNUMBER(J282),ISNUMBER(E282)),IF(ROUND(J282-E282,2)&lt;&gt;0,"El datáfono no cuadra con la tarjeta",""),""))</f>
        <v/>
      </c>
      <c r="Q282" s="4" t="n"/>
    </row>
    <row r="283">
      <c r="A283" s="7" t="n"/>
      <c r="B283" t="str">
        <f>IF(ISNUMBER(A283),CHOOSE(WEEKDAY(A283,2),"lunes","martes","miércoles","jueves","viernes","sábado","domingo"),"")</f>
        <v/>
      </c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  <c r="L283" s="8" t="str">
        <f>IF(AND(ISNUMBER(A283),COUNT(D283:F283)&gt;0),N(D283)+N(E283)+N(F283),"")</f>
        <v/>
      </c>
      <c r="M283" s="8" t="str">
        <f>IF(AND(ISNUMBER(L283),ISNUMBER($C$5),$C$5&gt;=0),ROUND(L283/(1+$C$5/100),2),"")</f>
        <v/>
      </c>
      <c r="N283" s="8" t="str">
        <f>IF(AND(ISNUMBER(A283),COUNT(C283:D283)&gt;0),N(C283)+N(D283)-N(G283)-N(H283),"")</f>
        <v/>
      </c>
      <c r="O283" s="8" t="str">
        <f>IF(AND(ISNUMBER(N283),ISNUMBER(I283)),ROUND(I283-N283,2),"")</f>
        <v/>
      </c>
      <c r="P283" s="9" t="str">
        <f>IF(ISNUMBER(O283),IF(AND(ISNUMBER($G$5),ABS(O283)&gt;$G$5),"Revisa el descuadre",IF(AND(ISNUMBER(J283),ISNUMBER(E283)),IF(ROUND(J283-E283,2)&lt;&gt;0,"El datáfono no cuadra con la tarjeta",""),"")),IF(AND(ISNUMBER(J283),ISNUMBER(E283)),IF(ROUND(J283-E283,2)&lt;&gt;0,"El datáfono no cuadra con la tarjeta",""),""))</f>
        <v/>
      </c>
      <c r="Q283" s="4" t="n"/>
    </row>
    <row r="284">
      <c r="A284" s="7" t="n"/>
      <c r="B284" t="str">
        <f>IF(ISNUMBER(A284),CHOOSE(WEEKDAY(A284,2),"lunes","martes","miércoles","jueves","viernes","sábado","domingo"),"")</f>
        <v/>
      </c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  <c r="L284" s="8" t="str">
        <f>IF(AND(ISNUMBER(A284),COUNT(D284:F284)&gt;0),N(D284)+N(E284)+N(F284),"")</f>
        <v/>
      </c>
      <c r="M284" s="8" t="str">
        <f>IF(AND(ISNUMBER(L284),ISNUMBER($C$5),$C$5&gt;=0),ROUND(L284/(1+$C$5/100),2),"")</f>
        <v/>
      </c>
      <c r="N284" s="8" t="str">
        <f>IF(AND(ISNUMBER(A284),COUNT(C284:D284)&gt;0),N(C284)+N(D284)-N(G284)-N(H284),"")</f>
        <v/>
      </c>
      <c r="O284" s="8" t="str">
        <f>IF(AND(ISNUMBER(N284),ISNUMBER(I284)),ROUND(I284-N284,2),"")</f>
        <v/>
      </c>
      <c r="P284" s="9" t="str">
        <f>IF(ISNUMBER(O284),IF(AND(ISNUMBER($G$5),ABS(O284)&gt;$G$5),"Revisa el descuadre",IF(AND(ISNUMBER(J284),ISNUMBER(E284)),IF(ROUND(J284-E284,2)&lt;&gt;0,"El datáfono no cuadra con la tarjeta",""),"")),IF(AND(ISNUMBER(J284),ISNUMBER(E284)),IF(ROUND(J284-E284,2)&lt;&gt;0,"El datáfono no cuadra con la tarjeta",""),""))</f>
        <v/>
      </c>
      <c r="Q284" s="4" t="n"/>
    </row>
    <row r="285">
      <c r="A285" s="7" t="n"/>
      <c r="B285" t="str">
        <f>IF(ISNUMBER(A285),CHOOSE(WEEKDAY(A285,2),"lunes","martes","miércoles","jueves","viernes","sábado","domingo"),"")</f>
        <v/>
      </c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  <c r="L285" s="8" t="str">
        <f>IF(AND(ISNUMBER(A285),COUNT(D285:F285)&gt;0),N(D285)+N(E285)+N(F285),"")</f>
        <v/>
      </c>
      <c r="M285" s="8" t="str">
        <f>IF(AND(ISNUMBER(L285),ISNUMBER($C$5),$C$5&gt;=0),ROUND(L285/(1+$C$5/100),2),"")</f>
        <v/>
      </c>
      <c r="N285" s="8" t="str">
        <f>IF(AND(ISNUMBER(A285),COUNT(C285:D285)&gt;0),N(C285)+N(D285)-N(G285)-N(H285),"")</f>
        <v/>
      </c>
      <c r="O285" s="8" t="str">
        <f>IF(AND(ISNUMBER(N285),ISNUMBER(I285)),ROUND(I285-N285,2),"")</f>
        <v/>
      </c>
      <c r="P285" s="9" t="str">
        <f>IF(ISNUMBER(O285),IF(AND(ISNUMBER($G$5),ABS(O285)&gt;$G$5),"Revisa el descuadre",IF(AND(ISNUMBER(J285),ISNUMBER(E285)),IF(ROUND(J285-E285,2)&lt;&gt;0,"El datáfono no cuadra con la tarjeta",""),"")),IF(AND(ISNUMBER(J285),ISNUMBER(E285)),IF(ROUND(J285-E285,2)&lt;&gt;0,"El datáfono no cuadra con la tarjeta",""),""))</f>
        <v/>
      </c>
      <c r="Q285" s="4" t="n"/>
    </row>
    <row r="286">
      <c r="A286" s="7" t="n"/>
      <c r="B286" t="str">
        <f>IF(ISNUMBER(A286),CHOOSE(WEEKDAY(A286,2),"lunes","martes","miércoles","jueves","viernes","sábado","domingo"),"")</f>
        <v/>
      </c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  <c r="L286" s="8" t="str">
        <f>IF(AND(ISNUMBER(A286),COUNT(D286:F286)&gt;0),N(D286)+N(E286)+N(F286),"")</f>
        <v/>
      </c>
      <c r="M286" s="8" t="str">
        <f>IF(AND(ISNUMBER(L286),ISNUMBER($C$5),$C$5&gt;=0),ROUND(L286/(1+$C$5/100),2),"")</f>
        <v/>
      </c>
      <c r="N286" s="8" t="str">
        <f>IF(AND(ISNUMBER(A286),COUNT(C286:D286)&gt;0),N(C286)+N(D286)-N(G286)-N(H286),"")</f>
        <v/>
      </c>
      <c r="O286" s="8" t="str">
        <f>IF(AND(ISNUMBER(N286),ISNUMBER(I286)),ROUND(I286-N286,2),"")</f>
        <v/>
      </c>
      <c r="P286" s="9" t="str">
        <f>IF(ISNUMBER(O286),IF(AND(ISNUMBER($G$5),ABS(O286)&gt;$G$5),"Revisa el descuadre",IF(AND(ISNUMBER(J286),ISNUMBER(E286)),IF(ROUND(J286-E286,2)&lt;&gt;0,"El datáfono no cuadra con la tarjeta",""),"")),IF(AND(ISNUMBER(J286),ISNUMBER(E286)),IF(ROUND(J286-E286,2)&lt;&gt;0,"El datáfono no cuadra con la tarjeta",""),""))</f>
        <v/>
      </c>
      <c r="Q286" s="4" t="n"/>
    </row>
    <row r="287">
      <c r="A287" s="7" t="n"/>
      <c r="B287" t="str">
        <f>IF(ISNUMBER(A287),CHOOSE(WEEKDAY(A287,2),"lunes","martes","miércoles","jueves","viernes","sábado","domingo"),"")</f>
        <v/>
      </c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  <c r="L287" s="8" t="str">
        <f>IF(AND(ISNUMBER(A287),COUNT(D287:F287)&gt;0),N(D287)+N(E287)+N(F287),"")</f>
        <v/>
      </c>
      <c r="M287" s="8" t="str">
        <f>IF(AND(ISNUMBER(L287),ISNUMBER($C$5),$C$5&gt;=0),ROUND(L287/(1+$C$5/100),2),"")</f>
        <v/>
      </c>
      <c r="N287" s="8" t="str">
        <f>IF(AND(ISNUMBER(A287),COUNT(C287:D287)&gt;0),N(C287)+N(D287)-N(G287)-N(H287),"")</f>
        <v/>
      </c>
      <c r="O287" s="8" t="str">
        <f>IF(AND(ISNUMBER(N287),ISNUMBER(I287)),ROUND(I287-N287,2),"")</f>
        <v/>
      </c>
      <c r="P287" s="9" t="str">
        <f>IF(ISNUMBER(O287),IF(AND(ISNUMBER($G$5),ABS(O287)&gt;$G$5),"Revisa el descuadre",IF(AND(ISNUMBER(J287),ISNUMBER(E287)),IF(ROUND(J287-E287,2)&lt;&gt;0,"El datáfono no cuadra con la tarjeta",""),"")),IF(AND(ISNUMBER(J287),ISNUMBER(E287)),IF(ROUND(J287-E287,2)&lt;&gt;0,"El datáfono no cuadra con la tarjeta",""),""))</f>
        <v/>
      </c>
      <c r="Q287" s="4" t="n"/>
    </row>
    <row r="288">
      <c r="A288" s="7" t="n"/>
      <c r="B288" t="str">
        <f>IF(ISNUMBER(A288),CHOOSE(WEEKDAY(A288,2),"lunes","martes","miércoles","jueves","viernes","sábado","domingo"),"")</f>
        <v/>
      </c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  <c r="L288" s="8" t="str">
        <f>IF(AND(ISNUMBER(A288),COUNT(D288:F288)&gt;0),N(D288)+N(E288)+N(F288),"")</f>
        <v/>
      </c>
      <c r="M288" s="8" t="str">
        <f>IF(AND(ISNUMBER(L288),ISNUMBER($C$5),$C$5&gt;=0),ROUND(L288/(1+$C$5/100),2),"")</f>
        <v/>
      </c>
      <c r="N288" s="8" t="str">
        <f>IF(AND(ISNUMBER(A288),COUNT(C288:D288)&gt;0),N(C288)+N(D288)-N(G288)-N(H288),"")</f>
        <v/>
      </c>
      <c r="O288" s="8" t="str">
        <f>IF(AND(ISNUMBER(N288),ISNUMBER(I288)),ROUND(I288-N288,2),"")</f>
        <v/>
      </c>
      <c r="P288" s="9" t="str">
        <f>IF(ISNUMBER(O288),IF(AND(ISNUMBER($G$5),ABS(O288)&gt;$G$5),"Revisa el descuadre",IF(AND(ISNUMBER(J288),ISNUMBER(E288)),IF(ROUND(J288-E288,2)&lt;&gt;0,"El datáfono no cuadra con la tarjeta",""),"")),IF(AND(ISNUMBER(J288),ISNUMBER(E288)),IF(ROUND(J288-E288,2)&lt;&gt;0,"El datáfono no cuadra con la tarjeta",""),""))</f>
        <v/>
      </c>
      <c r="Q288" s="4" t="n"/>
    </row>
    <row r="289">
      <c r="A289" s="7" t="n"/>
      <c r="B289" t="str">
        <f>IF(ISNUMBER(A289),CHOOSE(WEEKDAY(A289,2),"lunes","martes","miércoles","jueves","viernes","sábado","domingo"),"")</f>
        <v/>
      </c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  <c r="L289" s="8" t="str">
        <f>IF(AND(ISNUMBER(A289),COUNT(D289:F289)&gt;0),N(D289)+N(E289)+N(F289),"")</f>
        <v/>
      </c>
      <c r="M289" s="8" t="str">
        <f>IF(AND(ISNUMBER(L289),ISNUMBER($C$5),$C$5&gt;=0),ROUND(L289/(1+$C$5/100),2),"")</f>
        <v/>
      </c>
      <c r="N289" s="8" t="str">
        <f>IF(AND(ISNUMBER(A289),COUNT(C289:D289)&gt;0),N(C289)+N(D289)-N(G289)-N(H289),"")</f>
        <v/>
      </c>
      <c r="O289" s="8" t="str">
        <f>IF(AND(ISNUMBER(N289),ISNUMBER(I289)),ROUND(I289-N289,2),"")</f>
        <v/>
      </c>
      <c r="P289" s="9" t="str">
        <f>IF(ISNUMBER(O289),IF(AND(ISNUMBER($G$5),ABS(O289)&gt;$G$5),"Revisa el descuadre",IF(AND(ISNUMBER(J289),ISNUMBER(E289)),IF(ROUND(J289-E289,2)&lt;&gt;0,"El datáfono no cuadra con la tarjeta",""),"")),IF(AND(ISNUMBER(J289),ISNUMBER(E289)),IF(ROUND(J289-E289,2)&lt;&gt;0,"El datáfono no cuadra con la tarjeta",""),""))</f>
        <v/>
      </c>
      <c r="Q289" s="4" t="n"/>
    </row>
    <row r="290">
      <c r="A290" s="7" t="n"/>
      <c r="B290" t="str">
        <f>IF(ISNUMBER(A290),CHOOSE(WEEKDAY(A290,2),"lunes","martes","miércoles","jueves","viernes","sábado","domingo"),"")</f>
        <v/>
      </c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  <c r="L290" s="8" t="str">
        <f>IF(AND(ISNUMBER(A290),COUNT(D290:F290)&gt;0),N(D290)+N(E290)+N(F290),"")</f>
        <v/>
      </c>
      <c r="M290" s="8" t="str">
        <f>IF(AND(ISNUMBER(L290),ISNUMBER($C$5),$C$5&gt;=0),ROUND(L290/(1+$C$5/100),2),"")</f>
        <v/>
      </c>
      <c r="N290" s="8" t="str">
        <f>IF(AND(ISNUMBER(A290),COUNT(C290:D290)&gt;0),N(C290)+N(D290)-N(G290)-N(H290),"")</f>
        <v/>
      </c>
      <c r="O290" s="8" t="str">
        <f>IF(AND(ISNUMBER(N290),ISNUMBER(I290)),ROUND(I290-N290,2),"")</f>
        <v/>
      </c>
      <c r="P290" s="9" t="str">
        <f>IF(ISNUMBER(O290),IF(AND(ISNUMBER($G$5),ABS(O290)&gt;$G$5),"Revisa el descuadre",IF(AND(ISNUMBER(J290),ISNUMBER(E290)),IF(ROUND(J290-E290,2)&lt;&gt;0,"El datáfono no cuadra con la tarjeta",""),"")),IF(AND(ISNUMBER(J290),ISNUMBER(E290)),IF(ROUND(J290-E290,2)&lt;&gt;0,"El datáfono no cuadra con la tarjeta",""),""))</f>
        <v/>
      </c>
      <c r="Q290" s="4" t="n"/>
    </row>
    <row r="291">
      <c r="A291" s="7" t="n"/>
      <c r="B291" t="str">
        <f>IF(ISNUMBER(A291),CHOOSE(WEEKDAY(A291,2),"lunes","martes","miércoles","jueves","viernes","sábado","domingo"),"")</f>
        <v/>
      </c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  <c r="L291" s="8" t="str">
        <f>IF(AND(ISNUMBER(A291),COUNT(D291:F291)&gt;0),N(D291)+N(E291)+N(F291),"")</f>
        <v/>
      </c>
      <c r="M291" s="8" t="str">
        <f>IF(AND(ISNUMBER(L291),ISNUMBER($C$5),$C$5&gt;=0),ROUND(L291/(1+$C$5/100),2),"")</f>
        <v/>
      </c>
      <c r="N291" s="8" t="str">
        <f>IF(AND(ISNUMBER(A291),COUNT(C291:D291)&gt;0),N(C291)+N(D291)-N(G291)-N(H291),"")</f>
        <v/>
      </c>
      <c r="O291" s="8" t="str">
        <f>IF(AND(ISNUMBER(N291),ISNUMBER(I291)),ROUND(I291-N291,2),"")</f>
        <v/>
      </c>
      <c r="P291" s="9" t="str">
        <f>IF(ISNUMBER(O291),IF(AND(ISNUMBER($G$5),ABS(O291)&gt;$G$5),"Revisa el descuadre",IF(AND(ISNUMBER(J291),ISNUMBER(E291)),IF(ROUND(J291-E291,2)&lt;&gt;0,"El datáfono no cuadra con la tarjeta",""),"")),IF(AND(ISNUMBER(J291),ISNUMBER(E291)),IF(ROUND(J291-E291,2)&lt;&gt;0,"El datáfono no cuadra con la tarjeta",""),""))</f>
        <v/>
      </c>
      <c r="Q291" s="4" t="n"/>
    </row>
    <row r="292">
      <c r="A292" s="7" t="n"/>
      <c r="B292" t="str">
        <f>IF(ISNUMBER(A292),CHOOSE(WEEKDAY(A292,2),"lunes","martes","miércoles","jueves","viernes","sábado","domingo"),"")</f>
        <v/>
      </c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  <c r="L292" s="8" t="str">
        <f>IF(AND(ISNUMBER(A292),COUNT(D292:F292)&gt;0),N(D292)+N(E292)+N(F292),"")</f>
        <v/>
      </c>
      <c r="M292" s="8" t="str">
        <f>IF(AND(ISNUMBER(L292),ISNUMBER($C$5),$C$5&gt;=0),ROUND(L292/(1+$C$5/100),2),"")</f>
        <v/>
      </c>
      <c r="N292" s="8" t="str">
        <f>IF(AND(ISNUMBER(A292),COUNT(C292:D292)&gt;0),N(C292)+N(D292)-N(G292)-N(H292),"")</f>
        <v/>
      </c>
      <c r="O292" s="8" t="str">
        <f>IF(AND(ISNUMBER(N292),ISNUMBER(I292)),ROUND(I292-N292,2),"")</f>
        <v/>
      </c>
      <c r="P292" s="9" t="str">
        <f>IF(ISNUMBER(O292),IF(AND(ISNUMBER($G$5),ABS(O292)&gt;$G$5),"Revisa el descuadre",IF(AND(ISNUMBER(J292),ISNUMBER(E292)),IF(ROUND(J292-E292,2)&lt;&gt;0,"El datáfono no cuadra con la tarjeta",""),"")),IF(AND(ISNUMBER(J292),ISNUMBER(E292)),IF(ROUND(J292-E292,2)&lt;&gt;0,"El datáfono no cuadra con la tarjeta",""),""))</f>
        <v/>
      </c>
      <c r="Q292" s="4" t="n"/>
    </row>
    <row r="293">
      <c r="A293" s="7" t="n"/>
      <c r="B293" t="str">
        <f>IF(ISNUMBER(A293),CHOOSE(WEEKDAY(A293,2),"lunes","martes","miércoles","jueves","viernes","sábado","domingo"),"")</f>
        <v/>
      </c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  <c r="L293" s="8" t="str">
        <f>IF(AND(ISNUMBER(A293),COUNT(D293:F293)&gt;0),N(D293)+N(E293)+N(F293),"")</f>
        <v/>
      </c>
      <c r="M293" s="8" t="str">
        <f>IF(AND(ISNUMBER(L293),ISNUMBER($C$5),$C$5&gt;=0),ROUND(L293/(1+$C$5/100),2),"")</f>
        <v/>
      </c>
      <c r="N293" s="8" t="str">
        <f>IF(AND(ISNUMBER(A293),COUNT(C293:D293)&gt;0),N(C293)+N(D293)-N(G293)-N(H293),"")</f>
        <v/>
      </c>
      <c r="O293" s="8" t="str">
        <f>IF(AND(ISNUMBER(N293),ISNUMBER(I293)),ROUND(I293-N293,2),"")</f>
        <v/>
      </c>
      <c r="P293" s="9" t="str">
        <f>IF(ISNUMBER(O293),IF(AND(ISNUMBER($G$5),ABS(O293)&gt;$G$5),"Revisa el descuadre",IF(AND(ISNUMBER(J293),ISNUMBER(E293)),IF(ROUND(J293-E293,2)&lt;&gt;0,"El datáfono no cuadra con la tarjeta",""),"")),IF(AND(ISNUMBER(J293),ISNUMBER(E293)),IF(ROUND(J293-E293,2)&lt;&gt;0,"El datáfono no cuadra con la tarjeta",""),""))</f>
        <v/>
      </c>
      <c r="Q293" s="4" t="n"/>
    </row>
    <row r="294">
      <c r="A294" s="7" t="n"/>
      <c r="B294" t="str">
        <f>IF(ISNUMBER(A294),CHOOSE(WEEKDAY(A294,2),"lunes","martes","miércoles","jueves","viernes","sábado","domingo"),"")</f>
        <v/>
      </c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  <c r="L294" s="8" t="str">
        <f>IF(AND(ISNUMBER(A294),COUNT(D294:F294)&gt;0),N(D294)+N(E294)+N(F294),"")</f>
        <v/>
      </c>
      <c r="M294" s="8" t="str">
        <f>IF(AND(ISNUMBER(L294),ISNUMBER($C$5),$C$5&gt;=0),ROUND(L294/(1+$C$5/100),2),"")</f>
        <v/>
      </c>
      <c r="N294" s="8" t="str">
        <f>IF(AND(ISNUMBER(A294),COUNT(C294:D294)&gt;0),N(C294)+N(D294)-N(G294)-N(H294),"")</f>
        <v/>
      </c>
      <c r="O294" s="8" t="str">
        <f>IF(AND(ISNUMBER(N294),ISNUMBER(I294)),ROUND(I294-N294,2),"")</f>
        <v/>
      </c>
      <c r="P294" s="9" t="str">
        <f>IF(ISNUMBER(O294),IF(AND(ISNUMBER($G$5),ABS(O294)&gt;$G$5),"Revisa el descuadre",IF(AND(ISNUMBER(J294),ISNUMBER(E294)),IF(ROUND(J294-E294,2)&lt;&gt;0,"El datáfono no cuadra con la tarjeta",""),"")),IF(AND(ISNUMBER(J294),ISNUMBER(E294)),IF(ROUND(J294-E294,2)&lt;&gt;0,"El datáfono no cuadra con la tarjeta",""),""))</f>
        <v/>
      </c>
      <c r="Q294" s="4" t="n"/>
    </row>
    <row r="295">
      <c r="A295" s="7" t="n"/>
      <c r="B295" t="str">
        <f>IF(ISNUMBER(A295),CHOOSE(WEEKDAY(A295,2),"lunes","martes","miércoles","jueves","viernes","sábado","domingo"),"")</f>
        <v/>
      </c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  <c r="L295" s="8" t="str">
        <f>IF(AND(ISNUMBER(A295),COUNT(D295:F295)&gt;0),N(D295)+N(E295)+N(F295),"")</f>
        <v/>
      </c>
      <c r="M295" s="8" t="str">
        <f>IF(AND(ISNUMBER(L295),ISNUMBER($C$5),$C$5&gt;=0),ROUND(L295/(1+$C$5/100),2),"")</f>
        <v/>
      </c>
      <c r="N295" s="8" t="str">
        <f>IF(AND(ISNUMBER(A295),COUNT(C295:D295)&gt;0),N(C295)+N(D295)-N(G295)-N(H295),"")</f>
        <v/>
      </c>
      <c r="O295" s="8" t="str">
        <f>IF(AND(ISNUMBER(N295),ISNUMBER(I295)),ROUND(I295-N295,2),"")</f>
        <v/>
      </c>
      <c r="P295" s="9" t="str">
        <f>IF(ISNUMBER(O295),IF(AND(ISNUMBER($G$5),ABS(O295)&gt;$G$5),"Revisa el descuadre",IF(AND(ISNUMBER(J295),ISNUMBER(E295)),IF(ROUND(J295-E295,2)&lt;&gt;0,"El datáfono no cuadra con la tarjeta",""),"")),IF(AND(ISNUMBER(J295),ISNUMBER(E295)),IF(ROUND(J295-E295,2)&lt;&gt;0,"El datáfono no cuadra con la tarjeta",""),""))</f>
        <v/>
      </c>
      <c r="Q295" s="4" t="n"/>
    </row>
    <row r="296">
      <c r="A296" s="7" t="n"/>
      <c r="B296" t="str">
        <f>IF(ISNUMBER(A296),CHOOSE(WEEKDAY(A296,2),"lunes","martes","miércoles","jueves","viernes","sábado","domingo"),"")</f>
        <v/>
      </c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  <c r="L296" s="8" t="str">
        <f>IF(AND(ISNUMBER(A296),COUNT(D296:F296)&gt;0),N(D296)+N(E296)+N(F296),"")</f>
        <v/>
      </c>
      <c r="M296" s="8" t="str">
        <f>IF(AND(ISNUMBER(L296),ISNUMBER($C$5),$C$5&gt;=0),ROUND(L296/(1+$C$5/100),2),"")</f>
        <v/>
      </c>
      <c r="N296" s="8" t="str">
        <f>IF(AND(ISNUMBER(A296),COUNT(C296:D296)&gt;0),N(C296)+N(D296)-N(G296)-N(H296),"")</f>
        <v/>
      </c>
      <c r="O296" s="8" t="str">
        <f>IF(AND(ISNUMBER(N296),ISNUMBER(I296)),ROUND(I296-N296,2),"")</f>
        <v/>
      </c>
      <c r="P296" s="9" t="str">
        <f>IF(ISNUMBER(O296),IF(AND(ISNUMBER($G$5),ABS(O296)&gt;$G$5),"Revisa el descuadre",IF(AND(ISNUMBER(J296),ISNUMBER(E296)),IF(ROUND(J296-E296,2)&lt;&gt;0,"El datáfono no cuadra con la tarjeta",""),"")),IF(AND(ISNUMBER(J296),ISNUMBER(E296)),IF(ROUND(J296-E296,2)&lt;&gt;0,"El datáfono no cuadra con la tarjeta",""),""))</f>
        <v/>
      </c>
      <c r="Q296" s="4" t="n"/>
    </row>
    <row r="297">
      <c r="A297" s="7" t="n"/>
      <c r="B297" t="str">
        <f>IF(ISNUMBER(A297),CHOOSE(WEEKDAY(A297,2),"lunes","martes","miércoles","jueves","viernes","sábado","domingo"),"")</f>
        <v/>
      </c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  <c r="L297" s="8" t="str">
        <f>IF(AND(ISNUMBER(A297),COUNT(D297:F297)&gt;0),N(D297)+N(E297)+N(F297),"")</f>
        <v/>
      </c>
      <c r="M297" s="8" t="str">
        <f>IF(AND(ISNUMBER(L297),ISNUMBER($C$5),$C$5&gt;=0),ROUND(L297/(1+$C$5/100),2),"")</f>
        <v/>
      </c>
      <c r="N297" s="8" t="str">
        <f>IF(AND(ISNUMBER(A297),COUNT(C297:D297)&gt;0),N(C297)+N(D297)-N(G297)-N(H297),"")</f>
        <v/>
      </c>
      <c r="O297" s="8" t="str">
        <f>IF(AND(ISNUMBER(N297),ISNUMBER(I297)),ROUND(I297-N297,2),"")</f>
        <v/>
      </c>
      <c r="P297" s="9" t="str">
        <f>IF(ISNUMBER(O297),IF(AND(ISNUMBER($G$5),ABS(O297)&gt;$G$5),"Revisa el descuadre",IF(AND(ISNUMBER(J297),ISNUMBER(E297)),IF(ROUND(J297-E297,2)&lt;&gt;0,"El datáfono no cuadra con la tarjeta",""),"")),IF(AND(ISNUMBER(J297),ISNUMBER(E297)),IF(ROUND(J297-E297,2)&lt;&gt;0,"El datáfono no cuadra con la tarjeta",""),""))</f>
        <v/>
      </c>
      <c r="Q297" s="4" t="n"/>
    </row>
    <row r="298">
      <c r="A298" s="7" t="n"/>
      <c r="B298" t="str">
        <f>IF(ISNUMBER(A298),CHOOSE(WEEKDAY(A298,2),"lunes","martes","miércoles","jueves","viernes","sábado","domingo"),"")</f>
        <v/>
      </c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  <c r="L298" s="8" t="str">
        <f>IF(AND(ISNUMBER(A298),COUNT(D298:F298)&gt;0),N(D298)+N(E298)+N(F298),"")</f>
        <v/>
      </c>
      <c r="M298" s="8" t="str">
        <f>IF(AND(ISNUMBER(L298),ISNUMBER($C$5),$C$5&gt;=0),ROUND(L298/(1+$C$5/100),2),"")</f>
        <v/>
      </c>
      <c r="N298" s="8" t="str">
        <f>IF(AND(ISNUMBER(A298),COUNT(C298:D298)&gt;0),N(C298)+N(D298)-N(G298)-N(H298),"")</f>
        <v/>
      </c>
      <c r="O298" s="8" t="str">
        <f>IF(AND(ISNUMBER(N298),ISNUMBER(I298)),ROUND(I298-N298,2),"")</f>
        <v/>
      </c>
      <c r="P298" s="9" t="str">
        <f>IF(ISNUMBER(O298),IF(AND(ISNUMBER($G$5),ABS(O298)&gt;$G$5),"Revisa el descuadre",IF(AND(ISNUMBER(J298),ISNUMBER(E298)),IF(ROUND(J298-E298,2)&lt;&gt;0,"El datáfono no cuadra con la tarjeta",""),"")),IF(AND(ISNUMBER(J298),ISNUMBER(E298)),IF(ROUND(J298-E298,2)&lt;&gt;0,"El datáfono no cuadra con la tarjeta",""),""))</f>
        <v/>
      </c>
      <c r="Q298" s="4" t="n"/>
    </row>
    <row r="299">
      <c r="A299" s="7" t="n"/>
      <c r="B299" t="str">
        <f>IF(ISNUMBER(A299),CHOOSE(WEEKDAY(A299,2),"lunes","martes","miércoles","jueves","viernes","sábado","domingo"),"")</f>
        <v/>
      </c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  <c r="L299" s="8" t="str">
        <f>IF(AND(ISNUMBER(A299),COUNT(D299:F299)&gt;0),N(D299)+N(E299)+N(F299),"")</f>
        <v/>
      </c>
      <c r="M299" s="8" t="str">
        <f>IF(AND(ISNUMBER(L299),ISNUMBER($C$5),$C$5&gt;=0),ROUND(L299/(1+$C$5/100),2),"")</f>
        <v/>
      </c>
      <c r="N299" s="8" t="str">
        <f>IF(AND(ISNUMBER(A299),COUNT(C299:D299)&gt;0),N(C299)+N(D299)-N(G299)-N(H299),"")</f>
        <v/>
      </c>
      <c r="O299" s="8" t="str">
        <f>IF(AND(ISNUMBER(N299),ISNUMBER(I299)),ROUND(I299-N299,2),"")</f>
        <v/>
      </c>
      <c r="P299" s="9" t="str">
        <f>IF(ISNUMBER(O299),IF(AND(ISNUMBER($G$5),ABS(O299)&gt;$G$5),"Revisa el descuadre",IF(AND(ISNUMBER(J299),ISNUMBER(E299)),IF(ROUND(J299-E299,2)&lt;&gt;0,"El datáfono no cuadra con la tarjeta",""),"")),IF(AND(ISNUMBER(J299),ISNUMBER(E299)),IF(ROUND(J299-E299,2)&lt;&gt;0,"El datáfono no cuadra con la tarjeta",""),""))</f>
        <v/>
      </c>
      <c r="Q299" s="4" t="n"/>
    </row>
    <row r="300">
      <c r="A300" s="7" t="n"/>
      <c r="B300" t="str">
        <f>IF(ISNUMBER(A300),CHOOSE(WEEKDAY(A300,2),"lunes","martes","miércoles","jueves","viernes","sábado","domingo"),"")</f>
        <v/>
      </c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  <c r="L300" s="8" t="str">
        <f>IF(AND(ISNUMBER(A300),COUNT(D300:F300)&gt;0),N(D300)+N(E300)+N(F300),"")</f>
        <v/>
      </c>
      <c r="M300" s="8" t="str">
        <f>IF(AND(ISNUMBER(L300),ISNUMBER($C$5),$C$5&gt;=0),ROUND(L300/(1+$C$5/100),2),"")</f>
        <v/>
      </c>
      <c r="N300" s="8" t="str">
        <f>IF(AND(ISNUMBER(A300),COUNT(C300:D300)&gt;0),N(C300)+N(D300)-N(G300)-N(H300),"")</f>
        <v/>
      </c>
      <c r="O300" s="8" t="str">
        <f>IF(AND(ISNUMBER(N300),ISNUMBER(I300)),ROUND(I300-N300,2),"")</f>
        <v/>
      </c>
      <c r="P300" s="9" t="str">
        <f>IF(ISNUMBER(O300),IF(AND(ISNUMBER($G$5),ABS(O300)&gt;$G$5),"Revisa el descuadre",IF(AND(ISNUMBER(J300),ISNUMBER(E300)),IF(ROUND(J300-E300,2)&lt;&gt;0,"El datáfono no cuadra con la tarjeta",""),"")),IF(AND(ISNUMBER(J300),ISNUMBER(E300)),IF(ROUND(J300-E300,2)&lt;&gt;0,"El datáfono no cuadra con la tarjeta",""),""))</f>
        <v/>
      </c>
      <c r="Q300" s="4" t="n"/>
    </row>
    <row r="301">
      <c r="A301" s="7" t="n"/>
      <c r="B301" t="str">
        <f>IF(ISNUMBER(A301),CHOOSE(WEEKDAY(A301,2),"lunes","martes","miércoles","jueves","viernes","sábado","domingo"),"")</f>
        <v/>
      </c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  <c r="L301" s="8" t="str">
        <f>IF(AND(ISNUMBER(A301),COUNT(D301:F301)&gt;0),N(D301)+N(E301)+N(F301),"")</f>
        <v/>
      </c>
      <c r="M301" s="8" t="str">
        <f>IF(AND(ISNUMBER(L301),ISNUMBER($C$5),$C$5&gt;=0),ROUND(L301/(1+$C$5/100),2),"")</f>
        <v/>
      </c>
      <c r="N301" s="8" t="str">
        <f>IF(AND(ISNUMBER(A301),COUNT(C301:D301)&gt;0),N(C301)+N(D301)-N(G301)-N(H301),"")</f>
        <v/>
      </c>
      <c r="O301" s="8" t="str">
        <f>IF(AND(ISNUMBER(N301),ISNUMBER(I301)),ROUND(I301-N301,2),"")</f>
        <v/>
      </c>
      <c r="P301" s="9" t="str">
        <f>IF(ISNUMBER(O301),IF(AND(ISNUMBER($G$5),ABS(O301)&gt;$G$5),"Revisa el descuadre",IF(AND(ISNUMBER(J301),ISNUMBER(E301)),IF(ROUND(J301-E301,2)&lt;&gt;0,"El datáfono no cuadra con la tarjeta",""),"")),IF(AND(ISNUMBER(J301),ISNUMBER(E301)),IF(ROUND(J301-E301,2)&lt;&gt;0,"El datáfono no cuadra con la tarjeta",""),""))</f>
        <v/>
      </c>
      <c r="Q301" s="4" t="n"/>
    </row>
    <row r="302">
      <c r="A302" s="7" t="n"/>
      <c r="B302" t="str">
        <f>IF(ISNUMBER(A302),CHOOSE(WEEKDAY(A302,2),"lunes","martes","miércoles","jueves","viernes","sábado","domingo"),"")</f>
        <v/>
      </c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  <c r="L302" s="8" t="str">
        <f>IF(AND(ISNUMBER(A302),COUNT(D302:F302)&gt;0),N(D302)+N(E302)+N(F302),"")</f>
        <v/>
      </c>
      <c r="M302" s="8" t="str">
        <f>IF(AND(ISNUMBER(L302),ISNUMBER($C$5),$C$5&gt;=0),ROUND(L302/(1+$C$5/100),2),"")</f>
        <v/>
      </c>
      <c r="N302" s="8" t="str">
        <f>IF(AND(ISNUMBER(A302),COUNT(C302:D302)&gt;0),N(C302)+N(D302)-N(G302)-N(H302),"")</f>
        <v/>
      </c>
      <c r="O302" s="8" t="str">
        <f>IF(AND(ISNUMBER(N302),ISNUMBER(I302)),ROUND(I302-N302,2),"")</f>
        <v/>
      </c>
      <c r="P302" s="9" t="str">
        <f>IF(ISNUMBER(O302),IF(AND(ISNUMBER($G$5),ABS(O302)&gt;$G$5),"Revisa el descuadre",IF(AND(ISNUMBER(J302),ISNUMBER(E302)),IF(ROUND(J302-E302,2)&lt;&gt;0,"El datáfono no cuadra con la tarjeta",""),"")),IF(AND(ISNUMBER(J302),ISNUMBER(E302)),IF(ROUND(J302-E302,2)&lt;&gt;0,"El datáfono no cuadra con la tarjeta",""),""))</f>
        <v/>
      </c>
      <c r="Q302" s="4" t="n"/>
    </row>
    <row r="303">
      <c r="A303" s="7" t="n"/>
      <c r="B303" t="str">
        <f>IF(ISNUMBER(A303),CHOOSE(WEEKDAY(A303,2),"lunes","martes","miércoles","jueves","viernes","sábado","domingo"),"")</f>
        <v/>
      </c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  <c r="L303" s="8" t="str">
        <f>IF(AND(ISNUMBER(A303),COUNT(D303:F303)&gt;0),N(D303)+N(E303)+N(F303),"")</f>
        <v/>
      </c>
      <c r="M303" s="8" t="str">
        <f>IF(AND(ISNUMBER(L303),ISNUMBER($C$5),$C$5&gt;=0),ROUND(L303/(1+$C$5/100),2),"")</f>
        <v/>
      </c>
      <c r="N303" s="8" t="str">
        <f>IF(AND(ISNUMBER(A303),COUNT(C303:D303)&gt;0),N(C303)+N(D303)-N(G303)-N(H303),"")</f>
        <v/>
      </c>
      <c r="O303" s="8" t="str">
        <f>IF(AND(ISNUMBER(N303),ISNUMBER(I303)),ROUND(I303-N303,2),"")</f>
        <v/>
      </c>
      <c r="P303" s="9" t="str">
        <f>IF(ISNUMBER(O303),IF(AND(ISNUMBER($G$5),ABS(O303)&gt;$G$5),"Revisa el descuadre",IF(AND(ISNUMBER(J303),ISNUMBER(E303)),IF(ROUND(J303-E303,2)&lt;&gt;0,"El datáfono no cuadra con la tarjeta",""),"")),IF(AND(ISNUMBER(J303),ISNUMBER(E303)),IF(ROUND(J303-E303,2)&lt;&gt;0,"El datáfono no cuadra con la tarjeta",""),""))</f>
        <v/>
      </c>
      <c r="Q303" s="4" t="n"/>
    </row>
    <row r="304">
      <c r="A304" s="7" t="n"/>
      <c r="B304" t="str">
        <f>IF(ISNUMBER(A304),CHOOSE(WEEKDAY(A304,2),"lunes","martes","miércoles","jueves","viernes","sábado","domingo"),"")</f>
        <v/>
      </c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  <c r="L304" s="8" t="str">
        <f>IF(AND(ISNUMBER(A304),COUNT(D304:F304)&gt;0),N(D304)+N(E304)+N(F304),"")</f>
        <v/>
      </c>
      <c r="M304" s="8" t="str">
        <f>IF(AND(ISNUMBER(L304),ISNUMBER($C$5),$C$5&gt;=0),ROUND(L304/(1+$C$5/100),2),"")</f>
        <v/>
      </c>
      <c r="N304" s="8" t="str">
        <f>IF(AND(ISNUMBER(A304),COUNT(C304:D304)&gt;0),N(C304)+N(D304)-N(G304)-N(H304),"")</f>
        <v/>
      </c>
      <c r="O304" s="8" t="str">
        <f>IF(AND(ISNUMBER(N304),ISNUMBER(I304)),ROUND(I304-N304,2),"")</f>
        <v/>
      </c>
      <c r="P304" s="9" t="str">
        <f>IF(ISNUMBER(O304),IF(AND(ISNUMBER($G$5),ABS(O304)&gt;$G$5),"Revisa el descuadre",IF(AND(ISNUMBER(J304),ISNUMBER(E304)),IF(ROUND(J304-E304,2)&lt;&gt;0,"El datáfono no cuadra con la tarjeta",""),"")),IF(AND(ISNUMBER(J304),ISNUMBER(E304)),IF(ROUND(J304-E304,2)&lt;&gt;0,"El datáfono no cuadra con la tarjeta",""),""))</f>
        <v/>
      </c>
      <c r="Q304" s="4" t="n"/>
    </row>
    <row r="305">
      <c r="A305" s="7" t="n"/>
      <c r="B305" t="str">
        <f>IF(ISNUMBER(A305),CHOOSE(WEEKDAY(A305,2),"lunes","martes","miércoles","jueves","viernes","sábado","domingo"),"")</f>
        <v/>
      </c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  <c r="L305" s="8" t="str">
        <f>IF(AND(ISNUMBER(A305),COUNT(D305:F305)&gt;0),N(D305)+N(E305)+N(F305),"")</f>
        <v/>
      </c>
      <c r="M305" s="8" t="str">
        <f>IF(AND(ISNUMBER(L305),ISNUMBER($C$5),$C$5&gt;=0),ROUND(L305/(1+$C$5/100),2),"")</f>
        <v/>
      </c>
      <c r="N305" s="8" t="str">
        <f>IF(AND(ISNUMBER(A305),COUNT(C305:D305)&gt;0),N(C305)+N(D305)-N(G305)-N(H305),"")</f>
        <v/>
      </c>
      <c r="O305" s="8" t="str">
        <f>IF(AND(ISNUMBER(N305),ISNUMBER(I305)),ROUND(I305-N305,2),"")</f>
        <v/>
      </c>
      <c r="P305" s="9" t="str">
        <f>IF(ISNUMBER(O305),IF(AND(ISNUMBER($G$5),ABS(O305)&gt;$G$5),"Revisa el descuadre",IF(AND(ISNUMBER(J305),ISNUMBER(E305)),IF(ROUND(J305-E305,2)&lt;&gt;0,"El datáfono no cuadra con la tarjeta",""),"")),IF(AND(ISNUMBER(J305),ISNUMBER(E305)),IF(ROUND(J305-E305,2)&lt;&gt;0,"El datáfono no cuadra con la tarjeta",""),""))</f>
        <v/>
      </c>
      <c r="Q305" s="4" t="n"/>
    </row>
    <row r="306">
      <c r="A306" s="7" t="n"/>
      <c r="B306" t="str">
        <f>IF(ISNUMBER(A306),CHOOSE(WEEKDAY(A306,2),"lunes","martes","miércoles","jueves","viernes","sábado","domingo"),"")</f>
        <v/>
      </c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  <c r="L306" s="8" t="str">
        <f>IF(AND(ISNUMBER(A306),COUNT(D306:F306)&gt;0),N(D306)+N(E306)+N(F306),"")</f>
        <v/>
      </c>
      <c r="M306" s="8" t="str">
        <f>IF(AND(ISNUMBER(L306),ISNUMBER($C$5),$C$5&gt;=0),ROUND(L306/(1+$C$5/100),2),"")</f>
        <v/>
      </c>
      <c r="N306" s="8" t="str">
        <f>IF(AND(ISNUMBER(A306),COUNT(C306:D306)&gt;0),N(C306)+N(D306)-N(G306)-N(H306),"")</f>
        <v/>
      </c>
      <c r="O306" s="8" t="str">
        <f>IF(AND(ISNUMBER(N306),ISNUMBER(I306)),ROUND(I306-N306,2),"")</f>
        <v/>
      </c>
      <c r="P306" s="9" t="str">
        <f>IF(ISNUMBER(O306),IF(AND(ISNUMBER($G$5),ABS(O306)&gt;$G$5),"Revisa el descuadre",IF(AND(ISNUMBER(J306),ISNUMBER(E306)),IF(ROUND(J306-E306,2)&lt;&gt;0,"El datáfono no cuadra con la tarjeta",""),"")),IF(AND(ISNUMBER(J306),ISNUMBER(E306)),IF(ROUND(J306-E306,2)&lt;&gt;0,"El datáfono no cuadra con la tarjeta",""),""))</f>
        <v/>
      </c>
      <c r="Q306" s="4" t="n"/>
    </row>
    <row r="307">
      <c r="A307" s="7" t="n"/>
      <c r="B307" t="str">
        <f>IF(ISNUMBER(A307),CHOOSE(WEEKDAY(A307,2),"lunes","martes","miércoles","jueves","viernes","sábado","domingo"),"")</f>
        <v/>
      </c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  <c r="L307" s="8" t="str">
        <f>IF(AND(ISNUMBER(A307),COUNT(D307:F307)&gt;0),N(D307)+N(E307)+N(F307),"")</f>
        <v/>
      </c>
      <c r="M307" s="8" t="str">
        <f>IF(AND(ISNUMBER(L307),ISNUMBER($C$5),$C$5&gt;=0),ROUND(L307/(1+$C$5/100),2),"")</f>
        <v/>
      </c>
      <c r="N307" s="8" t="str">
        <f>IF(AND(ISNUMBER(A307),COUNT(C307:D307)&gt;0),N(C307)+N(D307)-N(G307)-N(H307),"")</f>
        <v/>
      </c>
      <c r="O307" s="8" t="str">
        <f>IF(AND(ISNUMBER(N307),ISNUMBER(I307)),ROUND(I307-N307,2),"")</f>
        <v/>
      </c>
      <c r="P307" s="9" t="str">
        <f>IF(ISNUMBER(O307),IF(AND(ISNUMBER($G$5),ABS(O307)&gt;$G$5),"Revisa el descuadre",IF(AND(ISNUMBER(J307),ISNUMBER(E307)),IF(ROUND(J307-E307,2)&lt;&gt;0,"El datáfono no cuadra con la tarjeta",""),"")),IF(AND(ISNUMBER(J307),ISNUMBER(E307)),IF(ROUND(J307-E307,2)&lt;&gt;0,"El datáfono no cuadra con la tarjeta",""),""))</f>
        <v/>
      </c>
      <c r="Q307" s="4" t="n"/>
    </row>
    <row r="308">
      <c r="A308" s="7" t="n"/>
      <c r="B308" t="str">
        <f>IF(ISNUMBER(A308),CHOOSE(WEEKDAY(A308,2),"lunes","martes","miércoles","jueves","viernes","sábado","domingo"),"")</f>
        <v/>
      </c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  <c r="L308" s="8" t="str">
        <f>IF(AND(ISNUMBER(A308),COUNT(D308:F308)&gt;0),N(D308)+N(E308)+N(F308),"")</f>
        <v/>
      </c>
      <c r="M308" s="8" t="str">
        <f>IF(AND(ISNUMBER(L308),ISNUMBER($C$5),$C$5&gt;=0),ROUND(L308/(1+$C$5/100),2),"")</f>
        <v/>
      </c>
      <c r="N308" s="8" t="str">
        <f>IF(AND(ISNUMBER(A308),COUNT(C308:D308)&gt;0),N(C308)+N(D308)-N(G308)-N(H308),"")</f>
        <v/>
      </c>
      <c r="O308" s="8" t="str">
        <f>IF(AND(ISNUMBER(N308),ISNUMBER(I308)),ROUND(I308-N308,2),"")</f>
        <v/>
      </c>
      <c r="P308" s="9" t="str">
        <f>IF(ISNUMBER(O308),IF(AND(ISNUMBER($G$5),ABS(O308)&gt;$G$5),"Revisa el descuadre",IF(AND(ISNUMBER(J308),ISNUMBER(E308)),IF(ROUND(J308-E308,2)&lt;&gt;0,"El datáfono no cuadra con la tarjeta",""),"")),IF(AND(ISNUMBER(J308),ISNUMBER(E308)),IF(ROUND(J308-E308,2)&lt;&gt;0,"El datáfono no cuadra con la tarjeta",""),""))</f>
        <v/>
      </c>
      <c r="Q308" s="4" t="n"/>
    </row>
    <row r="309">
      <c r="A309" s="7" t="n"/>
      <c r="B309" t="str">
        <f>IF(ISNUMBER(A309),CHOOSE(WEEKDAY(A309,2),"lunes","martes","miércoles","jueves","viernes","sábado","domingo"),"")</f>
        <v/>
      </c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  <c r="L309" s="8" t="str">
        <f>IF(AND(ISNUMBER(A309),COUNT(D309:F309)&gt;0),N(D309)+N(E309)+N(F309),"")</f>
        <v/>
      </c>
      <c r="M309" s="8" t="str">
        <f>IF(AND(ISNUMBER(L309),ISNUMBER($C$5),$C$5&gt;=0),ROUND(L309/(1+$C$5/100),2),"")</f>
        <v/>
      </c>
      <c r="N309" s="8" t="str">
        <f>IF(AND(ISNUMBER(A309),COUNT(C309:D309)&gt;0),N(C309)+N(D309)-N(G309)-N(H309),"")</f>
        <v/>
      </c>
      <c r="O309" s="8" t="str">
        <f>IF(AND(ISNUMBER(N309),ISNUMBER(I309)),ROUND(I309-N309,2),"")</f>
        <v/>
      </c>
      <c r="P309" s="9" t="str">
        <f>IF(ISNUMBER(O309),IF(AND(ISNUMBER($G$5),ABS(O309)&gt;$G$5),"Revisa el descuadre",IF(AND(ISNUMBER(J309),ISNUMBER(E309)),IF(ROUND(J309-E309,2)&lt;&gt;0,"El datáfono no cuadra con la tarjeta",""),"")),IF(AND(ISNUMBER(J309),ISNUMBER(E309)),IF(ROUND(J309-E309,2)&lt;&gt;0,"El datáfono no cuadra con la tarjeta",""),""))</f>
        <v/>
      </c>
      <c r="Q309" s="4" t="n"/>
    </row>
    <row r="310">
      <c r="A310" s="7" t="n"/>
      <c r="B310" t="str">
        <f>IF(ISNUMBER(A310),CHOOSE(WEEKDAY(A310,2),"lunes","martes","miércoles","jueves","viernes","sábado","domingo"),"")</f>
        <v/>
      </c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  <c r="L310" s="8" t="str">
        <f>IF(AND(ISNUMBER(A310),COUNT(D310:F310)&gt;0),N(D310)+N(E310)+N(F310),"")</f>
        <v/>
      </c>
      <c r="M310" s="8" t="str">
        <f>IF(AND(ISNUMBER(L310),ISNUMBER($C$5),$C$5&gt;=0),ROUND(L310/(1+$C$5/100),2),"")</f>
        <v/>
      </c>
      <c r="N310" s="8" t="str">
        <f>IF(AND(ISNUMBER(A310),COUNT(C310:D310)&gt;0),N(C310)+N(D310)-N(G310)-N(H310),"")</f>
        <v/>
      </c>
      <c r="O310" s="8" t="str">
        <f>IF(AND(ISNUMBER(N310),ISNUMBER(I310)),ROUND(I310-N310,2),"")</f>
        <v/>
      </c>
      <c r="P310" s="9" t="str">
        <f>IF(ISNUMBER(O310),IF(AND(ISNUMBER($G$5),ABS(O310)&gt;$G$5),"Revisa el descuadre",IF(AND(ISNUMBER(J310),ISNUMBER(E310)),IF(ROUND(J310-E310,2)&lt;&gt;0,"El datáfono no cuadra con la tarjeta",""),"")),IF(AND(ISNUMBER(J310),ISNUMBER(E310)),IF(ROUND(J310-E310,2)&lt;&gt;0,"El datáfono no cuadra con la tarjeta",""),""))</f>
        <v/>
      </c>
      <c r="Q310" s="4" t="n"/>
    </row>
    <row r="311">
      <c r="A311" s="7" t="n"/>
      <c r="B311" t="str">
        <f>IF(ISNUMBER(A311),CHOOSE(WEEKDAY(A311,2),"lunes","martes","miércoles","jueves","viernes","sábado","domingo"),"")</f>
        <v/>
      </c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  <c r="L311" s="8" t="str">
        <f>IF(AND(ISNUMBER(A311),COUNT(D311:F311)&gt;0),N(D311)+N(E311)+N(F311),"")</f>
        <v/>
      </c>
      <c r="M311" s="8" t="str">
        <f>IF(AND(ISNUMBER(L311),ISNUMBER($C$5),$C$5&gt;=0),ROUND(L311/(1+$C$5/100),2),"")</f>
        <v/>
      </c>
      <c r="N311" s="8" t="str">
        <f>IF(AND(ISNUMBER(A311),COUNT(C311:D311)&gt;0),N(C311)+N(D311)-N(G311)-N(H311),"")</f>
        <v/>
      </c>
      <c r="O311" s="8" t="str">
        <f>IF(AND(ISNUMBER(N311),ISNUMBER(I311)),ROUND(I311-N311,2),"")</f>
        <v/>
      </c>
      <c r="P311" s="9" t="str">
        <f>IF(ISNUMBER(O311),IF(AND(ISNUMBER($G$5),ABS(O311)&gt;$G$5),"Revisa el descuadre",IF(AND(ISNUMBER(J311),ISNUMBER(E311)),IF(ROUND(J311-E311,2)&lt;&gt;0,"El datáfono no cuadra con la tarjeta",""),"")),IF(AND(ISNUMBER(J311),ISNUMBER(E311)),IF(ROUND(J311-E311,2)&lt;&gt;0,"El datáfono no cuadra con la tarjeta",""),""))</f>
        <v/>
      </c>
      <c r="Q311" s="4" t="n"/>
    </row>
    <row r="312">
      <c r="A312" s="7" t="n"/>
      <c r="B312" t="str">
        <f>IF(ISNUMBER(A312),CHOOSE(WEEKDAY(A312,2),"lunes","martes","miércoles","jueves","viernes","sábado","domingo"),"")</f>
        <v/>
      </c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  <c r="L312" s="8" t="str">
        <f>IF(AND(ISNUMBER(A312),COUNT(D312:F312)&gt;0),N(D312)+N(E312)+N(F312),"")</f>
        <v/>
      </c>
      <c r="M312" s="8" t="str">
        <f>IF(AND(ISNUMBER(L312),ISNUMBER($C$5),$C$5&gt;=0),ROUND(L312/(1+$C$5/100),2),"")</f>
        <v/>
      </c>
      <c r="N312" s="8" t="str">
        <f>IF(AND(ISNUMBER(A312),COUNT(C312:D312)&gt;0),N(C312)+N(D312)-N(G312)-N(H312),"")</f>
        <v/>
      </c>
      <c r="O312" s="8" t="str">
        <f>IF(AND(ISNUMBER(N312),ISNUMBER(I312)),ROUND(I312-N312,2),"")</f>
        <v/>
      </c>
      <c r="P312" s="9" t="str">
        <f>IF(ISNUMBER(O312),IF(AND(ISNUMBER($G$5),ABS(O312)&gt;$G$5),"Revisa el descuadre",IF(AND(ISNUMBER(J312),ISNUMBER(E312)),IF(ROUND(J312-E312,2)&lt;&gt;0,"El datáfono no cuadra con la tarjeta",""),"")),IF(AND(ISNUMBER(J312),ISNUMBER(E312)),IF(ROUND(J312-E312,2)&lt;&gt;0,"El datáfono no cuadra con la tarjeta",""),""))</f>
        <v/>
      </c>
      <c r="Q312" s="4" t="n"/>
    </row>
    <row r="313">
      <c r="A313" s="7" t="n"/>
      <c r="B313" t="str">
        <f>IF(ISNUMBER(A313),CHOOSE(WEEKDAY(A313,2),"lunes","martes","miércoles","jueves","viernes","sábado","domingo"),"")</f>
        <v/>
      </c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  <c r="L313" s="8" t="str">
        <f>IF(AND(ISNUMBER(A313),COUNT(D313:F313)&gt;0),N(D313)+N(E313)+N(F313),"")</f>
        <v/>
      </c>
      <c r="M313" s="8" t="str">
        <f>IF(AND(ISNUMBER(L313),ISNUMBER($C$5),$C$5&gt;=0),ROUND(L313/(1+$C$5/100),2),"")</f>
        <v/>
      </c>
      <c r="N313" s="8" t="str">
        <f>IF(AND(ISNUMBER(A313),COUNT(C313:D313)&gt;0),N(C313)+N(D313)-N(G313)-N(H313),"")</f>
        <v/>
      </c>
      <c r="O313" s="8" t="str">
        <f>IF(AND(ISNUMBER(N313),ISNUMBER(I313)),ROUND(I313-N313,2),"")</f>
        <v/>
      </c>
      <c r="P313" s="9" t="str">
        <f>IF(ISNUMBER(O313),IF(AND(ISNUMBER($G$5),ABS(O313)&gt;$G$5),"Revisa el descuadre",IF(AND(ISNUMBER(J313),ISNUMBER(E313)),IF(ROUND(J313-E313,2)&lt;&gt;0,"El datáfono no cuadra con la tarjeta",""),"")),IF(AND(ISNUMBER(J313),ISNUMBER(E313)),IF(ROUND(J313-E313,2)&lt;&gt;0,"El datáfono no cuadra con la tarjeta",""),""))</f>
        <v/>
      </c>
      <c r="Q313" s="4" t="n"/>
    </row>
    <row r="314">
      <c r="A314" s="7" t="n"/>
      <c r="B314" t="str">
        <f>IF(ISNUMBER(A314),CHOOSE(WEEKDAY(A314,2),"lunes","martes","miércoles","jueves","viernes","sábado","domingo"),"")</f>
        <v/>
      </c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  <c r="L314" s="8" t="str">
        <f>IF(AND(ISNUMBER(A314),COUNT(D314:F314)&gt;0),N(D314)+N(E314)+N(F314),"")</f>
        <v/>
      </c>
      <c r="M314" s="8" t="str">
        <f>IF(AND(ISNUMBER(L314),ISNUMBER($C$5),$C$5&gt;=0),ROUND(L314/(1+$C$5/100),2),"")</f>
        <v/>
      </c>
      <c r="N314" s="8" t="str">
        <f>IF(AND(ISNUMBER(A314),COUNT(C314:D314)&gt;0),N(C314)+N(D314)-N(G314)-N(H314),"")</f>
        <v/>
      </c>
      <c r="O314" s="8" t="str">
        <f>IF(AND(ISNUMBER(N314),ISNUMBER(I314)),ROUND(I314-N314,2),"")</f>
        <v/>
      </c>
      <c r="P314" s="9" t="str">
        <f>IF(ISNUMBER(O314),IF(AND(ISNUMBER($G$5),ABS(O314)&gt;$G$5),"Revisa el descuadre",IF(AND(ISNUMBER(J314),ISNUMBER(E314)),IF(ROUND(J314-E314,2)&lt;&gt;0,"El datáfono no cuadra con la tarjeta",""),"")),IF(AND(ISNUMBER(J314),ISNUMBER(E314)),IF(ROUND(J314-E314,2)&lt;&gt;0,"El datáfono no cuadra con la tarjeta",""),""))</f>
        <v/>
      </c>
      <c r="Q314" s="4" t="n"/>
    </row>
    <row r="315">
      <c r="A315" s="7" t="n"/>
      <c r="B315" t="str">
        <f>IF(ISNUMBER(A315),CHOOSE(WEEKDAY(A315,2),"lunes","martes","miércoles","jueves","viernes","sábado","domingo"),"")</f>
        <v/>
      </c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  <c r="L315" s="8" t="str">
        <f>IF(AND(ISNUMBER(A315),COUNT(D315:F315)&gt;0),N(D315)+N(E315)+N(F315),"")</f>
        <v/>
      </c>
      <c r="M315" s="8" t="str">
        <f>IF(AND(ISNUMBER(L315),ISNUMBER($C$5),$C$5&gt;=0),ROUND(L315/(1+$C$5/100),2),"")</f>
        <v/>
      </c>
      <c r="N315" s="8" t="str">
        <f>IF(AND(ISNUMBER(A315),COUNT(C315:D315)&gt;0),N(C315)+N(D315)-N(G315)-N(H315),"")</f>
        <v/>
      </c>
      <c r="O315" s="8" t="str">
        <f>IF(AND(ISNUMBER(N315),ISNUMBER(I315)),ROUND(I315-N315,2),"")</f>
        <v/>
      </c>
      <c r="P315" s="9" t="str">
        <f>IF(ISNUMBER(O315),IF(AND(ISNUMBER($G$5),ABS(O315)&gt;$G$5),"Revisa el descuadre",IF(AND(ISNUMBER(J315),ISNUMBER(E315)),IF(ROUND(J315-E315,2)&lt;&gt;0,"El datáfono no cuadra con la tarjeta",""),"")),IF(AND(ISNUMBER(J315),ISNUMBER(E315)),IF(ROUND(J315-E315,2)&lt;&gt;0,"El datáfono no cuadra con la tarjeta",""),""))</f>
        <v/>
      </c>
      <c r="Q315" s="4" t="n"/>
    </row>
    <row r="316">
      <c r="A316" s="7" t="n"/>
      <c r="B316" t="str">
        <f>IF(ISNUMBER(A316),CHOOSE(WEEKDAY(A316,2),"lunes","martes","miércoles","jueves","viernes","sábado","domingo"),"")</f>
        <v/>
      </c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  <c r="L316" s="8" t="str">
        <f>IF(AND(ISNUMBER(A316),COUNT(D316:F316)&gt;0),N(D316)+N(E316)+N(F316),"")</f>
        <v/>
      </c>
      <c r="M316" s="8" t="str">
        <f>IF(AND(ISNUMBER(L316),ISNUMBER($C$5),$C$5&gt;=0),ROUND(L316/(1+$C$5/100),2),"")</f>
        <v/>
      </c>
      <c r="N316" s="8" t="str">
        <f>IF(AND(ISNUMBER(A316),COUNT(C316:D316)&gt;0),N(C316)+N(D316)-N(G316)-N(H316),"")</f>
        <v/>
      </c>
      <c r="O316" s="8" t="str">
        <f>IF(AND(ISNUMBER(N316),ISNUMBER(I316)),ROUND(I316-N316,2),"")</f>
        <v/>
      </c>
      <c r="P316" s="9" t="str">
        <f>IF(ISNUMBER(O316),IF(AND(ISNUMBER($G$5),ABS(O316)&gt;$G$5),"Revisa el descuadre",IF(AND(ISNUMBER(J316),ISNUMBER(E316)),IF(ROUND(J316-E316,2)&lt;&gt;0,"El datáfono no cuadra con la tarjeta",""),"")),IF(AND(ISNUMBER(J316),ISNUMBER(E316)),IF(ROUND(J316-E316,2)&lt;&gt;0,"El datáfono no cuadra con la tarjeta",""),""))</f>
        <v/>
      </c>
      <c r="Q316" s="4" t="n"/>
    </row>
    <row r="317">
      <c r="A317" s="7" t="n"/>
      <c r="B317" t="str">
        <f>IF(ISNUMBER(A317),CHOOSE(WEEKDAY(A317,2),"lunes","martes","miércoles","jueves","viernes","sábado","domingo"),"")</f>
        <v/>
      </c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  <c r="L317" s="8" t="str">
        <f>IF(AND(ISNUMBER(A317),COUNT(D317:F317)&gt;0),N(D317)+N(E317)+N(F317),"")</f>
        <v/>
      </c>
      <c r="M317" s="8" t="str">
        <f>IF(AND(ISNUMBER(L317),ISNUMBER($C$5),$C$5&gt;=0),ROUND(L317/(1+$C$5/100),2),"")</f>
        <v/>
      </c>
      <c r="N317" s="8" t="str">
        <f>IF(AND(ISNUMBER(A317),COUNT(C317:D317)&gt;0),N(C317)+N(D317)-N(G317)-N(H317),"")</f>
        <v/>
      </c>
      <c r="O317" s="8" t="str">
        <f>IF(AND(ISNUMBER(N317),ISNUMBER(I317)),ROUND(I317-N317,2),"")</f>
        <v/>
      </c>
      <c r="P317" s="9" t="str">
        <f>IF(ISNUMBER(O317),IF(AND(ISNUMBER($G$5),ABS(O317)&gt;$G$5),"Revisa el descuadre",IF(AND(ISNUMBER(J317),ISNUMBER(E317)),IF(ROUND(J317-E317,2)&lt;&gt;0,"El datáfono no cuadra con la tarjeta",""),"")),IF(AND(ISNUMBER(J317),ISNUMBER(E317)),IF(ROUND(J317-E317,2)&lt;&gt;0,"El datáfono no cuadra con la tarjeta",""),""))</f>
        <v/>
      </c>
      <c r="Q317" s="4" t="n"/>
    </row>
    <row r="318">
      <c r="A318" s="7" t="n"/>
      <c r="B318" t="str">
        <f>IF(ISNUMBER(A318),CHOOSE(WEEKDAY(A318,2),"lunes","martes","miércoles","jueves","viernes","sábado","domingo"),"")</f>
        <v/>
      </c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  <c r="L318" s="8" t="str">
        <f>IF(AND(ISNUMBER(A318),COUNT(D318:F318)&gt;0),N(D318)+N(E318)+N(F318),"")</f>
        <v/>
      </c>
      <c r="M318" s="8" t="str">
        <f>IF(AND(ISNUMBER(L318),ISNUMBER($C$5),$C$5&gt;=0),ROUND(L318/(1+$C$5/100),2),"")</f>
        <v/>
      </c>
      <c r="N318" s="8" t="str">
        <f>IF(AND(ISNUMBER(A318),COUNT(C318:D318)&gt;0),N(C318)+N(D318)-N(G318)-N(H318),"")</f>
        <v/>
      </c>
      <c r="O318" s="8" t="str">
        <f>IF(AND(ISNUMBER(N318),ISNUMBER(I318)),ROUND(I318-N318,2),"")</f>
        <v/>
      </c>
      <c r="P318" s="9" t="str">
        <f>IF(ISNUMBER(O318),IF(AND(ISNUMBER($G$5),ABS(O318)&gt;$G$5),"Revisa el descuadre",IF(AND(ISNUMBER(J318),ISNUMBER(E318)),IF(ROUND(J318-E318,2)&lt;&gt;0,"El datáfono no cuadra con la tarjeta",""),"")),IF(AND(ISNUMBER(J318),ISNUMBER(E318)),IF(ROUND(J318-E318,2)&lt;&gt;0,"El datáfono no cuadra con la tarjeta",""),""))</f>
        <v/>
      </c>
      <c r="Q318" s="4" t="n"/>
    </row>
    <row r="319">
      <c r="A319" s="7" t="n"/>
      <c r="B319" t="str">
        <f>IF(ISNUMBER(A319),CHOOSE(WEEKDAY(A319,2),"lunes","martes","miércoles","jueves","viernes","sábado","domingo"),"")</f>
        <v/>
      </c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  <c r="L319" s="8" t="str">
        <f>IF(AND(ISNUMBER(A319),COUNT(D319:F319)&gt;0),N(D319)+N(E319)+N(F319),"")</f>
        <v/>
      </c>
      <c r="M319" s="8" t="str">
        <f>IF(AND(ISNUMBER(L319),ISNUMBER($C$5),$C$5&gt;=0),ROUND(L319/(1+$C$5/100),2),"")</f>
        <v/>
      </c>
      <c r="N319" s="8" t="str">
        <f>IF(AND(ISNUMBER(A319),COUNT(C319:D319)&gt;0),N(C319)+N(D319)-N(G319)-N(H319),"")</f>
        <v/>
      </c>
      <c r="O319" s="8" t="str">
        <f>IF(AND(ISNUMBER(N319),ISNUMBER(I319)),ROUND(I319-N319,2),"")</f>
        <v/>
      </c>
      <c r="P319" s="9" t="str">
        <f>IF(ISNUMBER(O319),IF(AND(ISNUMBER($G$5),ABS(O319)&gt;$G$5),"Revisa el descuadre",IF(AND(ISNUMBER(J319),ISNUMBER(E319)),IF(ROUND(J319-E319,2)&lt;&gt;0,"El datáfono no cuadra con la tarjeta",""),"")),IF(AND(ISNUMBER(J319),ISNUMBER(E319)),IF(ROUND(J319-E319,2)&lt;&gt;0,"El datáfono no cuadra con la tarjeta",""),""))</f>
        <v/>
      </c>
      <c r="Q319" s="4" t="n"/>
    </row>
    <row r="320">
      <c r="A320" s="7" t="n"/>
      <c r="B320" t="str">
        <f>IF(ISNUMBER(A320),CHOOSE(WEEKDAY(A320,2),"lunes","martes","miércoles","jueves","viernes","sábado","domingo"),"")</f>
        <v/>
      </c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  <c r="L320" s="8" t="str">
        <f>IF(AND(ISNUMBER(A320),COUNT(D320:F320)&gt;0),N(D320)+N(E320)+N(F320),"")</f>
        <v/>
      </c>
      <c r="M320" s="8" t="str">
        <f>IF(AND(ISNUMBER(L320),ISNUMBER($C$5),$C$5&gt;=0),ROUND(L320/(1+$C$5/100),2),"")</f>
        <v/>
      </c>
      <c r="N320" s="8" t="str">
        <f>IF(AND(ISNUMBER(A320),COUNT(C320:D320)&gt;0),N(C320)+N(D320)-N(G320)-N(H320),"")</f>
        <v/>
      </c>
      <c r="O320" s="8" t="str">
        <f>IF(AND(ISNUMBER(N320),ISNUMBER(I320)),ROUND(I320-N320,2),"")</f>
        <v/>
      </c>
      <c r="P320" s="9" t="str">
        <f>IF(ISNUMBER(O320),IF(AND(ISNUMBER($G$5),ABS(O320)&gt;$G$5),"Revisa el descuadre",IF(AND(ISNUMBER(J320),ISNUMBER(E320)),IF(ROUND(J320-E320,2)&lt;&gt;0,"El datáfono no cuadra con la tarjeta",""),"")),IF(AND(ISNUMBER(J320),ISNUMBER(E320)),IF(ROUND(J320-E320,2)&lt;&gt;0,"El datáfono no cuadra con la tarjeta",""),""))</f>
        <v/>
      </c>
      <c r="Q320" s="4" t="n"/>
    </row>
    <row r="321">
      <c r="A321" s="7" t="n"/>
      <c r="B321" t="str">
        <f>IF(ISNUMBER(A321),CHOOSE(WEEKDAY(A321,2),"lunes","martes","miércoles","jueves","viernes","sábado","domingo"),"")</f>
        <v/>
      </c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  <c r="L321" s="8" t="str">
        <f>IF(AND(ISNUMBER(A321),COUNT(D321:F321)&gt;0),N(D321)+N(E321)+N(F321),"")</f>
        <v/>
      </c>
      <c r="M321" s="8" t="str">
        <f>IF(AND(ISNUMBER(L321),ISNUMBER($C$5),$C$5&gt;=0),ROUND(L321/(1+$C$5/100),2),"")</f>
        <v/>
      </c>
      <c r="N321" s="8" t="str">
        <f>IF(AND(ISNUMBER(A321),COUNT(C321:D321)&gt;0),N(C321)+N(D321)-N(G321)-N(H321),"")</f>
        <v/>
      </c>
      <c r="O321" s="8" t="str">
        <f>IF(AND(ISNUMBER(N321),ISNUMBER(I321)),ROUND(I321-N321,2),"")</f>
        <v/>
      </c>
      <c r="P321" s="9" t="str">
        <f>IF(ISNUMBER(O321),IF(AND(ISNUMBER($G$5),ABS(O321)&gt;$G$5),"Revisa el descuadre",IF(AND(ISNUMBER(J321),ISNUMBER(E321)),IF(ROUND(J321-E321,2)&lt;&gt;0,"El datáfono no cuadra con la tarjeta",""),"")),IF(AND(ISNUMBER(J321),ISNUMBER(E321)),IF(ROUND(J321-E321,2)&lt;&gt;0,"El datáfono no cuadra con la tarjeta",""),""))</f>
        <v/>
      </c>
      <c r="Q321" s="4" t="n"/>
    </row>
    <row r="322">
      <c r="A322" s="7" t="n"/>
      <c r="B322" t="str">
        <f>IF(ISNUMBER(A322),CHOOSE(WEEKDAY(A322,2),"lunes","martes","miércoles","jueves","viernes","sábado","domingo"),"")</f>
        <v/>
      </c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  <c r="L322" s="8" t="str">
        <f>IF(AND(ISNUMBER(A322),COUNT(D322:F322)&gt;0),N(D322)+N(E322)+N(F322),"")</f>
        <v/>
      </c>
      <c r="M322" s="8" t="str">
        <f>IF(AND(ISNUMBER(L322),ISNUMBER($C$5),$C$5&gt;=0),ROUND(L322/(1+$C$5/100),2),"")</f>
        <v/>
      </c>
      <c r="N322" s="8" t="str">
        <f>IF(AND(ISNUMBER(A322),COUNT(C322:D322)&gt;0),N(C322)+N(D322)-N(G322)-N(H322),"")</f>
        <v/>
      </c>
      <c r="O322" s="8" t="str">
        <f>IF(AND(ISNUMBER(N322),ISNUMBER(I322)),ROUND(I322-N322,2),"")</f>
        <v/>
      </c>
      <c r="P322" s="9" t="str">
        <f>IF(ISNUMBER(O322),IF(AND(ISNUMBER($G$5),ABS(O322)&gt;$G$5),"Revisa el descuadre",IF(AND(ISNUMBER(J322),ISNUMBER(E322)),IF(ROUND(J322-E322,2)&lt;&gt;0,"El datáfono no cuadra con la tarjeta",""),"")),IF(AND(ISNUMBER(J322),ISNUMBER(E322)),IF(ROUND(J322-E322,2)&lt;&gt;0,"El datáfono no cuadra con la tarjeta",""),""))</f>
        <v/>
      </c>
      <c r="Q322" s="4" t="n"/>
    </row>
    <row r="323">
      <c r="A323" s="7" t="n"/>
      <c r="B323" t="str">
        <f>IF(ISNUMBER(A323),CHOOSE(WEEKDAY(A323,2),"lunes","martes","miércoles","jueves","viernes","sábado","domingo"),"")</f>
        <v/>
      </c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  <c r="L323" s="8" t="str">
        <f>IF(AND(ISNUMBER(A323),COUNT(D323:F323)&gt;0),N(D323)+N(E323)+N(F323),"")</f>
        <v/>
      </c>
      <c r="M323" s="8" t="str">
        <f>IF(AND(ISNUMBER(L323),ISNUMBER($C$5),$C$5&gt;=0),ROUND(L323/(1+$C$5/100),2),"")</f>
        <v/>
      </c>
      <c r="N323" s="8" t="str">
        <f>IF(AND(ISNUMBER(A323),COUNT(C323:D323)&gt;0),N(C323)+N(D323)-N(G323)-N(H323),"")</f>
        <v/>
      </c>
      <c r="O323" s="8" t="str">
        <f>IF(AND(ISNUMBER(N323),ISNUMBER(I323)),ROUND(I323-N323,2),"")</f>
        <v/>
      </c>
      <c r="P323" s="9" t="str">
        <f>IF(ISNUMBER(O323),IF(AND(ISNUMBER($G$5),ABS(O323)&gt;$G$5),"Revisa el descuadre",IF(AND(ISNUMBER(J323),ISNUMBER(E323)),IF(ROUND(J323-E323,2)&lt;&gt;0,"El datáfono no cuadra con la tarjeta",""),"")),IF(AND(ISNUMBER(J323),ISNUMBER(E323)),IF(ROUND(J323-E323,2)&lt;&gt;0,"El datáfono no cuadra con la tarjeta",""),""))</f>
        <v/>
      </c>
      <c r="Q323" s="4" t="n"/>
    </row>
    <row r="324">
      <c r="A324" s="7" t="n"/>
      <c r="B324" t="str">
        <f>IF(ISNUMBER(A324),CHOOSE(WEEKDAY(A324,2),"lunes","martes","miércoles","jueves","viernes","sábado","domingo"),"")</f>
        <v/>
      </c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  <c r="L324" s="8" t="str">
        <f>IF(AND(ISNUMBER(A324),COUNT(D324:F324)&gt;0),N(D324)+N(E324)+N(F324),"")</f>
        <v/>
      </c>
      <c r="M324" s="8" t="str">
        <f>IF(AND(ISNUMBER(L324),ISNUMBER($C$5),$C$5&gt;=0),ROUND(L324/(1+$C$5/100),2),"")</f>
        <v/>
      </c>
      <c r="N324" s="8" t="str">
        <f>IF(AND(ISNUMBER(A324),COUNT(C324:D324)&gt;0),N(C324)+N(D324)-N(G324)-N(H324),"")</f>
        <v/>
      </c>
      <c r="O324" s="8" t="str">
        <f>IF(AND(ISNUMBER(N324),ISNUMBER(I324)),ROUND(I324-N324,2),"")</f>
        <v/>
      </c>
      <c r="P324" s="9" t="str">
        <f>IF(ISNUMBER(O324),IF(AND(ISNUMBER($G$5),ABS(O324)&gt;$G$5),"Revisa el descuadre",IF(AND(ISNUMBER(J324),ISNUMBER(E324)),IF(ROUND(J324-E324,2)&lt;&gt;0,"El datáfono no cuadra con la tarjeta",""),"")),IF(AND(ISNUMBER(J324),ISNUMBER(E324)),IF(ROUND(J324-E324,2)&lt;&gt;0,"El datáfono no cuadra con la tarjeta",""),""))</f>
        <v/>
      </c>
      <c r="Q324" s="4" t="n"/>
    </row>
    <row r="325">
      <c r="A325" s="7" t="n"/>
      <c r="B325" t="str">
        <f>IF(ISNUMBER(A325),CHOOSE(WEEKDAY(A325,2),"lunes","martes","miércoles","jueves","viernes","sábado","domingo"),"")</f>
        <v/>
      </c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  <c r="L325" s="8" t="str">
        <f>IF(AND(ISNUMBER(A325),COUNT(D325:F325)&gt;0),N(D325)+N(E325)+N(F325),"")</f>
        <v/>
      </c>
      <c r="M325" s="8" t="str">
        <f>IF(AND(ISNUMBER(L325),ISNUMBER($C$5),$C$5&gt;=0),ROUND(L325/(1+$C$5/100),2),"")</f>
        <v/>
      </c>
      <c r="N325" s="8" t="str">
        <f>IF(AND(ISNUMBER(A325),COUNT(C325:D325)&gt;0),N(C325)+N(D325)-N(G325)-N(H325),"")</f>
        <v/>
      </c>
      <c r="O325" s="8" t="str">
        <f>IF(AND(ISNUMBER(N325),ISNUMBER(I325)),ROUND(I325-N325,2),"")</f>
        <v/>
      </c>
      <c r="P325" s="9" t="str">
        <f>IF(ISNUMBER(O325),IF(AND(ISNUMBER($G$5),ABS(O325)&gt;$G$5),"Revisa el descuadre",IF(AND(ISNUMBER(J325),ISNUMBER(E325)),IF(ROUND(J325-E325,2)&lt;&gt;0,"El datáfono no cuadra con la tarjeta",""),"")),IF(AND(ISNUMBER(J325),ISNUMBER(E325)),IF(ROUND(J325-E325,2)&lt;&gt;0,"El datáfono no cuadra con la tarjeta",""),""))</f>
        <v/>
      </c>
      <c r="Q325" s="4" t="n"/>
    </row>
    <row r="326">
      <c r="A326" s="7" t="n"/>
      <c r="B326" t="str">
        <f>IF(ISNUMBER(A326),CHOOSE(WEEKDAY(A326,2),"lunes","martes","miércoles","jueves","viernes","sábado","domingo"),"")</f>
        <v/>
      </c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  <c r="L326" s="8" t="str">
        <f>IF(AND(ISNUMBER(A326),COUNT(D326:F326)&gt;0),N(D326)+N(E326)+N(F326),"")</f>
        <v/>
      </c>
      <c r="M326" s="8" t="str">
        <f>IF(AND(ISNUMBER(L326),ISNUMBER($C$5),$C$5&gt;=0),ROUND(L326/(1+$C$5/100),2),"")</f>
        <v/>
      </c>
      <c r="N326" s="8" t="str">
        <f>IF(AND(ISNUMBER(A326),COUNT(C326:D326)&gt;0),N(C326)+N(D326)-N(G326)-N(H326),"")</f>
        <v/>
      </c>
      <c r="O326" s="8" t="str">
        <f>IF(AND(ISNUMBER(N326),ISNUMBER(I326)),ROUND(I326-N326,2),"")</f>
        <v/>
      </c>
      <c r="P326" s="9" t="str">
        <f>IF(ISNUMBER(O326),IF(AND(ISNUMBER($G$5),ABS(O326)&gt;$G$5),"Revisa el descuadre",IF(AND(ISNUMBER(J326),ISNUMBER(E326)),IF(ROUND(J326-E326,2)&lt;&gt;0,"El datáfono no cuadra con la tarjeta",""),"")),IF(AND(ISNUMBER(J326),ISNUMBER(E326)),IF(ROUND(J326-E326,2)&lt;&gt;0,"El datáfono no cuadra con la tarjeta",""),""))</f>
        <v/>
      </c>
      <c r="Q326" s="4" t="n"/>
    </row>
    <row r="327">
      <c r="A327" s="7" t="n"/>
      <c r="B327" t="str">
        <f>IF(ISNUMBER(A327),CHOOSE(WEEKDAY(A327,2),"lunes","martes","miércoles","jueves","viernes","sábado","domingo"),"")</f>
        <v/>
      </c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  <c r="L327" s="8" t="str">
        <f>IF(AND(ISNUMBER(A327),COUNT(D327:F327)&gt;0),N(D327)+N(E327)+N(F327),"")</f>
        <v/>
      </c>
      <c r="M327" s="8" t="str">
        <f>IF(AND(ISNUMBER(L327),ISNUMBER($C$5),$C$5&gt;=0),ROUND(L327/(1+$C$5/100),2),"")</f>
        <v/>
      </c>
      <c r="N327" s="8" t="str">
        <f>IF(AND(ISNUMBER(A327),COUNT(C327:D327)&gt;0),N(C327)+N(D327)-N(G327)-N(H327),"")</f>
        <v/>
      </c>
      <c r="O327" s="8" t="str">
        <f>IF(AND(ISNUMBER(N327),ISNUMBER(I327)),ROUND(I327-N327,2),"")</f>
        <v/>
      </c>
      <c r="P327" s="9" t="str">
        <f>IF(ISNUMBER(O327),IF(AND(ISNUMBER($G$5),ABS(O327)&gt;$G$5),"Revisa el descuadre",IF(AND(ISNUMBER(J327),ISNUMBER(E327)),IF(ROUND(J327-E327,2)&lt;&gt;0,"El datáfono no cuadra con la tarjeta",""),"")),IF(AND(ISNUMBER(J327),ISNUMBER(E327)),IF(ROUND(J327-E327,2)&lt;&gt;0,"El datáfono no cuadra con la tarjeta",""),""))</f>
        <v/>
      </c>
      <c r="Q327" s="4" t="n"/>
    </row>
    <row r="328">
      <c r="A328" s="7" t="n"/>
      <c r="B328" t="str">
        <f>IF(ISNUMBER(A328),CHOOSE(WEEKDAY(A328,2),"lunes","martes","miércoles","jueves","viernes","sábado","domingo"),"")</f>
        <v/>
      </c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  <c r="L328" s="8" t="str">
        <f>IF(AND(ISNUMBER(A328),COUNT(D328:F328)&gt;0),N(D328)+N(E328)+N(F328),"")</f>
        <v/>
      </c>
      <c r="M328" s="8" t="str">
        <f>IF(AND(ISNUMBER(L328),ISNUMBER($C$5),$C$5&gt;=0),ROUND(L328/(1+$C$5/100),2),"")</f>
        <v/>
      </c>
      <c r="N328" s="8" t="str">
        <f>IF(AND(ISNUMBER(A328),COUNT(C328:D328)&gt;0),N(C328)+N(D328)-N(G328)-N(H328),"")</f>
        <v/>
      </c>
      <c r="O328" s="8" t="str">
        <f>IF(AND(ISNUMBER(N328),ISNUMBER(I328)),ROUND(I328-N328,2),"")</f>
        <v/>
      </c>
      <c r="P328" s="9" t="str">
        <f>IF(ISNUMBER(O328),IF(AND(ISNUMBER($G$5),ABS(O328)&gt;$G$5),"Revisa el descuadre",IF(AND(ISNUMBER(J328),ISNUMBER(E328)),IF(ROUND(J328-E328,2)&lt;&gt;0,"El datáfono no cuadra con la tarjeta",""),"")),IF(AND(ISNUMBER(J328),ISNUMBER(E328)),IF(ROUND(J328-E328,2)&lt;&gt;0,"El datáfono no cuadra con la tarjeta",""),""))</f>
        <v/>
      </c>
      <c r="Q328" s="4" t="n"/>
    </row>
    <row r="329">
      <c r="A329" s="7" t="n"/>
      <c r="B329" t="str">
        <f>IF(ISNUMBER(A329),CHOOSE(WEEKDAY(A329,2),"lunes","martes","miércoles","jueves","viernes","sábado","domingo"),"")</f>
        <v/>
      </c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  <c r="L329" s="8" t="str">
        <f>IF(AND(ISNUMBER(A329),COUNT(D329:F329)&gt;0),N(D329)+N(E329)+N(F329),"")</f>
        <v/>
      </c>
      <c r="M329" s="8" t="str">
        <f>IF(AND(ISNUMBER(L329),ISNUMBER($C$5),$C$5&gt;=0),ROUND(L329/(1+$C$5/100),2),"")</f>
        <v/>
      </c>
      <c r="N329" s="8" t="str">
        <f>IF(AND(ISNUMBER(A329),COUNT(C329:D329)&gt;0),N(C329)+N(D329)-N(G329)-N(H329),"")</f>
        <v/>
      </c>
      <c r="O329" s="8" t="str">
        <f>IF(AND(ISNUMBER(N329),ISNUMBER(I329)),ROUND(I329-N329,2),"")</f>
        <v/>
      </c>
      <c r="P329" s="9" t="str">
        <f>IF(ISNUMBER(O329),IF(AND(ISNUMBER($G$5),ABS(O329)&gt;$G$5),"Revisa el descuadre",IF(AND(ISNUMBER(J329),ISNUMBER(E329)),IF(ROUND(J329-E329,2)&lt;&gt;0,"El datáfono no cuadra con la tarjeta",""),"")),IF(AND(ISNUMBER(J329),ISNUMBER(E329)),IF(ROUND(J329-E329,2)&lt;&gt;0,"El datáfono no cuadra con la tarjeta",""),""))</f>
        <v/>
      </c>
      <c r="Q329" s="4" t="n"/>
    </row>
    <row r="330">
      <c r="A330" s="7" t="n"/>
      <c r="B330" t="str">
        <f>IF(ISNUMBER(A330),CHOOSE(WEEKDAY(A330,2),"lunes","martes","miércoles","jueves","viernes","sábado","domingo"),"")</f>
        <v/>
      </c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  <c r="L330" s="8" t="str">
        <f>IF(AND(ISNUMBER(A330),COUNT(D330:F330)&gt;0),N(D330)+N(E330)+N(F330),"")</f>
        <v/>
      </c>
      <c r="M330" s="8" t="str">
        <f>IF(AND(ISNUMBER(L330),ISNUMBER($C$5),$C$5&gt;=0),ROUND(L330/(1+$C$5/100),2),"")</f>
        <v/>
      </c>
      <c r="N330" s="8" t="str">
        <f>IF(AND(ISNUMBER(A330),COUNT(C330:D330)&gt;0),N(C330)+N(D330)-N(G330)-N(H330),"")</f>
        <v/>
      </c>
      <c r="O330" s="8" t="str">
        <f>IF(AND(ISNUMBER(N330),ISNUMBER(I330)),ROUND(I330-N330,2),"")</f>
        <v/>
      </c>
      <c r="P330" s="9" t="str">
        <f>IF(ISNUMBER(O330),IF(AND(ISNUMBER($G$5),ABS(O330)&gt;$G$5),"Revisa el descuadre",IF(AND(ISNUMBER(J330),ISNUMBER(E330)),IF(ROUND(J330-E330,2)&lt;&gt;0,"El datáfono no cuadra con la tarjeta",""),"")),IF(AND(ISNUMBER(J330),ISNUMBER(E330)),IF(ROUND(J330-E330,2)&lt;&gt;0,"El datáfono no cuadra con la tarjeta",""),""))</f>
        <v/>
      </c>
      <c r="Q330" s="4" t="n"/>
    </row>
    <row r="331">
      <c r="A331" s="7" t="n"/>
      <c r="B331" t="str">
        <f>IF(ISNUMBER(A331),CHOOSE(WEEKDAY(A331,2),"lunes","martes","miércoles","jueves","viernes","sábado","domingo"),"")</f>
        <v/>
      </c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  <c r="L331" s="8" t="str">
        <f>IF(AND(ISNUMBER(A331),COUNT(D331:F331)&gt;0),N(D331)+N(E331)+N(F331),"")</f>
        <v/>
      </c>
      <c r="M331" s="8" t="str">
        <f>IF(AND(ISNUMBER(L331),ISNUMBER($C$5),$C$5&gt;=0),ROUND(L331/(1+$C$5/100),2),"")</f>
        <v/>
      </c>
      <c r="N331" s="8" t="str">
        <f>IF(AND(ISNUMBER(A331),COUNT(C331:D331)&gt;0),N(C331)+N(D331)-N(G331)-N(H331),"")</f>
        <v/>
      </c>
      <c r="O331" s="8" t="str">
        <f>IF(AND(ISNUMBER(N331),ISNUMBER(I331)),ROUND(I331-N331,2),"")</f>
        <v/>
      </c>
      <c r="P331" s="9" t="str">
        <f>IF(ISNUMBER(O331),IF(AND(ISNUMBER($G$5),ABS(O331)&gt;$G$5),"Revisa el descuadre",IF(AND(ISNUMBER(J331),ISNUMBER(E331)),IF(ROUND(J331-E331,2)&lt;&gt;0,"El datáfono no cuadra con la tarjeta",""),"")),IF(AND(ISNUMBER(J331),ISNUMBER(E331)),IF(ROUND(J331-E331,2)&lt;&gt;0,"El datáfono no cuadra con la tarjeta",""),""))</f>
        <v/>
      </c>
      <c r="Q331" s="4" t="n"/>
    </row>
    <row r="332">
      <c r="A332" s="7" t="n"/>
      <c r="B332" t="str">
        <f>IF(ISNUMBER(A332),CHOOSE(WEEKDAY(A332,2),"lunes","martes","miércoles","jueves","viernes","sábado","domingo"),"")</f>
        <v/>
      </c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  <c r="L332" s="8" t="str">
        <f>IF(AND(ISNUMBER(A332),COUNT(D332:F332)&gt;0),N(D332)+N(E332)+N(F332),"")</f>
        <v/>
      </c>
      <c r="M332" s="8" t="str">
        <f>IF(AND(ISNUMBER(L332),ISNUMBER($C$5),$C$5&gt;=0),ROUND(L332/(1+$C$5/100),2),"")</f>
        <v/>
      </c>
      <c r="N332" s="8" t="str">
        <f>IF(AND(ISNUMBER(A332),COUNT(C332:D332)&gt;0),N(C332)+N(D332)-N(G332)-N(H332),"")</f>
        <v/>
      </c>
      <c r="O332" s="8" t="str">
        <f>IF(AND(ISNUMBER(N332),ISNUMBER(I332)),ROUND(I332-N332,2),"")</f>
        <v/>
      </c>
      <c r="P332" s="9" t="str">
        <f>IF(ISNUMBER(O332),IF(AND(ISNUMBER($G$5),ABS(O332)&gt;$G$5),"Revisa el descuadre",IF(AND(ISNUMBER(J332),ISNUMBER(E332)),IF(ROUND(J332-E332,2)&lt;&gt;0,"El datáfono no cuadra con la tarjeta",""),"")),IF(AND(ISNUMBER(J332),ISNUMBER(E332)),IF(ROUND(J332-E332,2)&lt;&gt;0,"El datáfono no cuadra con la tarjeta",""),""))</f>
        <v/>
      </c>
      <c r="Q332" s="4" t="n"/>
    </row>
    <row r="333">
      <c r="A333" s="7" t="n"/>
      <c r="B333" t="str">
        <f>IF(ISNUMBER(A333),CHOOSE(WEEKDAY(A333,2),"lunes","martes","miércoles","jueves","viernes","sábado","domingo"),"")</f>
        <v/>
      </c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  <c r="L333" s="8" t="str">
        <f>IF(AND(ISNUMBER(A333),COUNT(D333:F333)&gt;0),N(D333)+N(E333)+N(F333),"")</f>
        <v/>
      </c>
      <c r="M333" s="8" t="str">
        <f>IF(AND(ISNUMBER(L333),ISNUMBER($C$5),$C$5&gt;=0),ROUND(L333/(1+$C$5/100),2),"")</f>
        <v/>
      </c>
      <c r="N333" s="8" t="str">
        <f>IF(AND(ISNUMBER(A333),COUNT(C333:D333)&gt;0),N(C333)+N(D333)-N(G333)-N(H333),"")</f>
        <v/>
      </c>
      <c r="O333" s="8" t="str">
        <f>IF(AND(ISNUMBER(N333),ISNUMBER(I333)),ROUND(I333-N333,2),"")</f>
        <v/>
      </c>
      <c r="P333" s="9" t="str">
        <f>IF(ISNUMBER(O333),IF(AND(ISNUMBER($G$5),ABS(O333)&gt;$G$5),"Revisa el descuadre",IF(AND(ISNUMBER(J333),ISNUMBER(E333)),IF(ROUND(J333-E333,2)&lt;&gt;0,"El datáfono no cuadra con la tarjeta",""),"")),IF(AND(ISNUMBER(J333),ISNUMBER(E333)),IF(ROUND(J333-E333,2)&lt;&gt;0,"El datáfono no cuadra con la tarjeta",""),""))</f>
        <v/>
      </c>
      <c r="Q333" s="4" t="n"/>
    </row>
    <row r="334">
      <c r="A334" s="7" t="n"/>
      <c r="B334" t="str">
        <f>IF(ISNUMBER(A334),CHOOSE(WEEKDAY(A334,2),"lunes","martes","miércoles","jueves","viernes","sábado","domingo"),"")</f>
        <v/>
      </c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  <c r="L334" s="8" t="str">
        <f>IF(AND(ISNUMBER(A334),COUNT(D334:F334)&gt;0),N(D334)+N(E334)+N(F334),"")</f>
        <v/>
      </c>
      <c r="M334" s="8" t="str">
        <f>IF(AND(ISNUMBER(L334),ISNUMBER($C$5),$C$5&gt;=0),ROUND(L334/(1+$C$5/100),2),"")</f>
        <v/>
      </c>
      <c r="N334" s="8" t="str">
        <f>IF(AND(ISNUMBER(A334),COUNT(C334:D334)&gt;0),N(C334)+N(D334)-N(G334)-N(H334),"")</f>
        <v/>
      </c>
      <c r="O334" s="8" t="str">
        <f>IF(AND(ISNUMBER(N334),ISNUMBER(I334)),ROUND(I334-N334,2),"")</f>
        <v/>
      </c>
      <c r="P334" s="9" t="str">
        <f>IF(ISNUMBER(O334),IF(AND(ISNUMBER($G$5),ABS(O334)&gt;$G$5),"Revisa el descuadre",IF(AND(ISNUMBER(J334),ISNUMBER(E334)),IF(ROUND(J334-E334,2)&lt;&gt;0,"El datáfono no cuadra con la tarjeta",""),"")),IF(AND(ISNUMBER(J334),ISNUMBER(E334)),IF(ROUND(J334-E334,2)&lt;&gt;0,"El datáfono no cuadra con la tarjeta",""),""))</f>
        <v/>
      </c>
      <c r="Q334" s="4" t="n"/>
    </row>
    <row r="335">
      <c r="A335" s="7" t="n"/>
      <c r="B335" t="str">
        <f>IF(ISNUMBER(A335),CHOOSE(WEEKDAY(A335,2),"lunes","martes","miércoles","jueves","viernes","sábado","domingo"),"")</f>
        <v/>
      </c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  <c r="L335" s="8" t="str">
        <f>IF(AND(ISNUMBER(A335),COUNT(D335:F335)&gt;0),N(D335)+N(E335)+N(F335),"")</f>
        <v/>
      </c>
      <c r="M335" s="8" t="str">
        <f>IF(AND(ISNUMBER(L335),ISNUMBER($C$5),$C$5&gt;=0),ROUND(L335/(1+$C$5/100),2),"")</f>
        <v/>
      </c>
      <c r="N335" s="8" t="str">
        <f>IF(AND(ISNUMBER(A335),COUNT(C335:D335)&gt;0),N(C335)+N(D335)-N(G335)-N(H335),"")</f>
        <v/>
      </c>
      <c r="O335" s="8" t="str">
        <f>IF(AND(ISNUMBER(N335),ISNUMBER(I335)),ROUND(I335-N335,2),"")</f>
        <v/>
      </c>
      <c r="P335" s="9" t="str">
        <f>IF(ISNUMBER(O335),IF(AND(ISNUMBER($G$5),ABS(O335)&gt;$G$5),"Revisa el descuadre",IF(AND(ISNUMBER(J335),ISNUMBER(E335)),IF(ROUND(J335-E335,2)&lt;&gt;0,"El datáfono no cuadra con la tarjeta",""),"")),IF(AND(ISNUMBER(J335),ISNUMBER(E335)),IF(ROUND(J335-E335,2)&lt;&gt;0,"El datáfono no cuadra con la tarjeta",""),""))</f>
        <v/>
      </c>
      <c r="Q335" s="4" t="n"/>
    </row>
    <row r="336">
      <c r="A336" s="7" t="n"/>
      <c r="B336" t="str">
        <f>IF(ISNUMBER(A336),CHOOSE(WEEKDAY(A336,2),"lunes","martes","miércoles","jueves","viernes","sábado","domingo"),"")</f>
        <v/>
      </c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  <c r="L336" s="8" t="str">
        <f>IF(AND(ISNUMBER(A336),COUNT(D336:F336)&gt;0),N(D336)+N(E336)+N(F336),"")</f>
        <v/>
      </c>
      <c r="M336" s="8" t="str">
        <f>IF(AND(ISNUMBER(L336),ISNUMBER($C$5),$C$5&gt;=0),ROUND(L336/(1+$C$5/100),2),"")</f>
        <v/>
      </c>
      <c r="N336" s="8" t="str">
        <f>IF(AND(ISNUMBER(A336),COUNT(C336:D336)&gt;0),N(C336)+N(D336)-N(G336)-N(H336),"")</f>
        <v/>
      </c>
      <c r="O336" s="8" t="str">
        <f>IF(AND(ISNUMBER(N336),ISNUMBER(I336)),ROUND(I336-N336,2),"")</f>
        <v/>
      </c>
      <c r="P336" s="9" t="str">
        <f>IF(ISNUMBER(O336),IF(AND(ISNUMBER($G$5),ABS(O336)&gt;$G$5),"Revisa el descuadre",IF(AND(ISNUMBER(J336),ISNUMBER(E336)),IF(ROUND(J336-E336,2)&lt;&gt;0,"El datáfono no cuadra con la tarjeta",""),"")),IF(AND(ISNUMBER(J336),ISNUMBER(E336)),IF(ROUND(J336-E336,2)&lt;&gt;0,"El datáfono no cuadra con la tarjeta",""),""))</f>
        <v/>
      </c>
      <c r="Q336" s="4" t="n"/>
    </row>
    <row r="337">
      <c r="A337" s="7" t="n"/>
      <c r="B337" t="str">
        <f>IF(ISNUMBER(A337),CHOOSE(WEEKDAY(A337,2),"lunes","martes","miércoles","jueves","viernes","sábado","domingo"),"")</f>
        <v/>
      </c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  <c r="L337" s="8" t="str">
        <f>IF(AND(ISNUMBER(A337),COUNT(D337:F337)&gt;0),N(D337)+N(E337)+N(F337),"")</f>
        <v/>
      </c>
      <c r="M337" s="8" t="str">
        <f>IF(AND(ISNUMBER(L337),ISNUMBER($C$5),$C$5&gt;=0),ROUND(L337/(1+$C$5/100),2),"")</f>
        <v/>
      </c>
      <c r="N337" s="8" t="str">
        <f>IF(AND(ISNUMBER(A337),COUNT(C337:D337)&gt;0),N(C337)+N(D337)-N(G337)-N(H337),"")</f>
        <v/>
      </c>
      <c r="O337" s="8" t="str">
        <f>IF(AND(ISNUMBER(N337),ISNUMBER(I337)),ROUND(I337-N337,2),"")</f>
        <v/>
      </c>
      <c r="P337" s="9" t="str">
        <f>IF(ISNUMBER(O337),IF(AND(ISNUMBER($G$5),ABS(O337)&gt;$G$5),"Revisa el descuadre",IF(AND(ISNUMBER(J337),ISNUMBER(E337)),IF(ROUND(J337-E337,2)&lt;&gt;0,"El datáfono no cuadra con la tarjeta",""),"")),IF(AND(ISNUMBER(J337),ISNUMBER(E337)),IF(ROUND(J337-E337,2)&lt;&gt;0,"El datáfono no cuadra con la tarjeta",""),""))</f>
        <v/>
      </c>
      <c r="Q337" s="4" t="n"/>
    </row>
    <row r="338">
      <c r="A338" s="7" t="n"/>
      <c r="B338" t="str">
        <f>IF(ISNUMBER(A338),CHOOSE(WEEKDAY(A338,2),"lunes","martes","miércoles","jueves","viernes","sábado","domingo"),"")</f>
        <v/>
      </c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  <c r="L338" s="8" t="str">
        <f>IF(AND(ISNUMBER(A338),COUNT(D338:F338)&gt;0),N(D338)+N(E338)+N(F338),"")</f>
        <v/>
      </c>
      <c r="M338" s="8" t="str">
        <f>IF(AND(ISNUMBER(L338),ISNUMBER($C$5),$C$5&gt;=0),ROUND(L338/(1+$C$5/100),2),"")</f>
        <v/>
      </c>
      <c r="N338" s="8" t="str">
        <f>IF(AND(ISNUMBER(A338),COUNT(C338:D338)&gt;0),N(C338)+N(D338)-N(G338)-N(H338),"")</f>
        <v/>
      </c>
      <c r="O338" s="8" t="str">
        <f>IF(AND(ISNUMBER(N338),ISNUMBER(I338)),ROUND(I338-N338,2),"")</f>
        <v/>
      </c>
      <c r="P338" s="9" t="str">
        <f>IF(ISNUMBER(O338),IF(AND(ISNUMBER($G$5),ABS(O338)&gt;$G$5),"Revisa el descuadre",IF(AND(ISNUMBER(J338),ISNUMBER(E338)),IF(ROUND(J338-E338,2)&lt;&gt;0,"El datáfono no cuadra con la tarjeta",""),"")),IF(AND(ISNUMBER(J338),ISNUMBER(E338)),IF(ROUND(J338-E338,2)&lt;&gt;0,"El datáfono no cuadra con la tarjeta",""),""))</f>
        <v/>
      </c>
      <c r="Q338" s="4" t="n"/>
    </row>
    <row r="339">
      <c r="A339" s="7" t="n"/>
      <c r="B339" t="str">
        <f>IF(ISNUMBER(A339),CHOOSE(WEEKDAY(A339,2),"lunes","martes","miércoles","jueves","viernes","sábado","domingo"),"")</f>
        <v/>
      </c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  <c r="L339" s="8" t="str">
        <f>IF(AND(ISNUMBER(A339),COUNT(D339:F339)&gt;0),N(D339)+N(E339)+N(F339),"")</f>
        <v/>
      </c>
      <c r="M339" s="8" t="str">
        <f>IF(AND(ISNUMBER(L339),ISNUMBER($C$5),$C$5&gt;=0),ROUND(L339/(1+$C$5/100),2),"")</f>
        <v/>
      </c>
      <c r="N339" s="8" t="str">
        <f>IF(AND(ISNUMBER(A339),COUNT(C339:D339)&gt;0),N(C339)+N(D339)-N(G339)-N(H339),"")</f>
        <v/>
      </c>
      <c r="O339" s="8" t="str">
        <f>IF(AND(ISNUMBER(N339),ISNUMBER(I339)),ROUND(I339-N339,2),"")</f>
        <v/>
      </c>
      <c r="P339" s="9" t="str">
        <f>IF(ISNUMBER(O339),IF(AND(ISNUMBER($G$5),ABS(O339)&gt;$G$5),"Revisa el descuadre",IF(AND(ISNUMBER(J339),ISNUMBER(E339)),IF(ROUND(J339-E339,2)&lt;&gt;0,"El datáfono no cuadra con la tarjeta",""),"")),IF(AND(ISNUMBER(J339),ISNUMBER(E339)),IF(ROUND(J339-E339,2)&lt;&gt;0,"El datáfono no cuadra con la tarjeta",""),""))</f>
        <v/>
      </c>
      <c r="Q339" s="4" t="n"/>
    </row>
    <row r="340">
      <c r="A340" s="7" t="n"/>
      <c r="B340" t="str">
        <f>IF(ISNUMBER(A340),CHOOSE(WEEKDAY(A340,2),"lunes","martes","miércoles","jueves","viernes","sábado","domingo"),"")</f>
        <v/>
      </c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  <c r="L340" s="8" t="str">
        <f>IF(AND(ISNUMBER(A340),COUNT(D340:F340)&gt;0),N(D340)+N(E340)+N(F340),"")</f>
        <v/>
      </c>
      <c r="M340" s="8" t="str">
        <f>IF(AND(ISNUMBER(L340),ISNUMBER($C$5),$C$5&gt;=0),ROUND(L340/(1+$C$5/100),2),"")</f>
        <v/>
      </c>
      <c r="N340" s="8" t="str">
        <f>IF(AND(ISNUMBER(A340),COUNT(C340:D340)&gt;0),N(C340)+N(D340)-N(G340)-N(H340),"")</f>
        <v/>
      </c>
      <c r="O340" s="8" t="str">
        <f>IF(AND(ISNUMBER(N340),ISNUMBER(I340)),ROUND(I340-N340,2),"")</f>
        <v/>
      </c>
      <c r="P340" s="9" t="str">
        <f>IF(ISNUMBER(O340),IF(AND(ISNUMBER($G$5),ABS(O340)&gt;$G$5),"Revisa el descuadre",IF(AND(ISNUMBER(J340),ISNUMBER(E340)),IF(ROUND(J340-E340,2)&lt;&gt;0,"El datáfono no cuadra con la tarjeta",""),"")),IF(AND(ISNUMBER(J340),ISNUMBER(E340)),IF(ROUND(J340-E340,2)&lt;&gt;0,"El datáfono no cuadra con la tarjeta",""),""))</f>
        <v/>
      </c>
      <c r="Q340" s="4" t="n"/>
    </row>
    <row r="341">
      <c r="A341" s="7" t="n"/>
      <c r="B341" t="str">
        <f>IF(ISNUMBER(A341),CHOOSE(WEEKDAY(A341,2),"lunes","martes","miércoles","jueves","viernes","sábado","domingo"),"")</f>
        <v/>
      </c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  <c r="L341" s="8" t="str">
        <f>IF(AND(ISNUMBER(A341),COUNT(D341:F341)&gt;0),N(D341)+N(E341)+N(F341),"")</f>
        <v/>
      </c>
      <c r="M341" s="8" t="str">
        <f>IF(AND(ISNUMBER(L341),ISNUMBER($C$5),$C$5&gt;=0),ROUND(L341/(1+$C$5/100),2),"")</f>
        <v/>
      </c>
      <c r="N341" s="8" t="str">
        <f>IF(AND(ISNUMBER(A341),COUNT(C341:D341)&gt;0),N(C341)+N(D341)-N(G341)-N(H341),"")</f>
        <v/>
      </c>
      <c r="O341" s="8" t="str">
        <f>IF(AND(ISNUMBER(N341),ISNUMBER(I341)),ROUND(I341-N341,2),"")</f>
        <v/>
      </c>
      <c r="P341" s="9" t="str">
        <f>IF(ISNUMBER(O341),IF(AND(ISNUMBER($G$5),ABS(O341)&gt;$G$5),"Revisa el descuadre",IF(AND(ISNUMBER(J341),ISNUMBER(E341)),IF(ROUND(J341-E341,2)&lt;&gt;0,"El datáfono no cuadra con la tarjeta",""),"")),IF(AND(ISNUMBER(J341),ISNUMBER(E341)),IF(ROUND(J341-E341,2)&lt;&gt;0,"El datáfono no cuadra con la tarjeta",""),""))</f>
        <v/>
      </c>
      <c r="Q341" s="4" t="n"/>
    </row>
    <row r="342">
      <c r="A342" s="7" t="n"/>
      <c r="B342" t="str">
        <f>IF(ISNUMBER(A342),CHOOSE(WEEKDAY(A342,2),"lunes","martes","miércoles","jueves","viernes","sábado","domingo"),"")</f>
        <v/>
      </c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  <c r="L342" s="8" t="str">
        <f>IF(AND(ISNUMBER(A342),COUNT(D342:F342)&gt;0),N(D342)+N(E342)+N(F342),"")</f>
        <v/>
      </c>
      <c r="M342" s="8" t="str">
        <f>IF(AND(ISNUMBER(L342),ISNUMBER($C$5),$C$5&gt;=0),ROUND(L342/(1+$C$5/100),2),"")</f>
        <v/>
      </c>
      <c r="N342" s="8" t="str">
        <f>IF(AND(ISNUMBER(A342),COUNT(C342:D342)&gt;0),N(C342)+N(D342)-N(G342)-N(H342),"")</f>
        <v/>
      </c>
      <c r="O342" s="8" t="str">
        <f>IF(AND(ISNUMBER(N342),ISNUMBER(I342)),ROUND(I342-N342,2),"")</f>
        <v/>
      </c>
      <c r="P342" s="9" t="str">
        <f>IF(ISNUMBER(O342),IF(AND(ISNUMBER($G$5),ABS(O342)&gt;$G$5),"Revisa el descuadre",IF(AND(ISNUMBER(J342),ISNUMBER(E342)),IF(ROUND(J342-E342,2)&lt;&gt;0,"El datáfono no cuadra con la tarjeta",""),"")),IF(AND(ISNUMBER(J342),ISNUMBER(E342)),IF(ROUND(J342-E342,2)&lt;&gt;0,"El datáfono no cuadra con la tarjeta",""),""))</f>
        <v/>
      </c>
      <c r="Q342" s="4" t="n"/>
    </row>
    <row r="343">
      <c r="A343" s="7" t="n"/>
      <c r="B343" t="str">
        <f>IF(ISNUMBER(A343),CHOOSE(WEEKDAY(A343,2),"lunes","martes","miércoles","jueves","viernes","sábado","domingo"),"")</f>
        <v/>
      </c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  <c r="L343" s="8" t="str">
        <f>IF(AND(ISNUMBER(A343),COUNT(D343:F343)&gt;0),N(D343)+N(E343)+N(F343),"")</f>
        <v/>
      </c>
      <c r="M343" s="8" t="str">
        <f>IF(AND(ISNUMBER(L343),ISNUMBER($C$5),$C$5&gt;=0),ROUND(L343/(1+$C$5/100),2),"")</f>
        <v/>
      </c>
      <c r="N343" s="8" t="str">
        <f>IF(AND(ISNUMBER(A343),COUNT(C343:D343)&gt;0),N(C343)+N(D343)-N(G343)-N(H343),"")</f>
        <v/>
      </c>
      <c r="O343" s="8" t="str">
        <f>IF(AND(ISNUMBER(N343),ISNUMBER(I343)),ROUND(I343-N343,2),"")</f>
        <v/>
      </c>
      <c r="P343" s="9" t="str">
        <f>IF(ISNUMBER(O343),IF(AND(ISNUMBER($G$5),ABS(O343)&gt;$G$5),"Revisa el descuadre",IF(AND(ISNUMBER(J343),ISNUMBER(E343)),IF(ROUND(J343-E343,2)&lt;&gt;0,"El datáfono no cuadra con la tarjeta",""),"")),IF(AND(ISNUMBER(J343),ISNUMBER(E343)),IF(ROUND(J343-E343,2)&lt;&gt;0,"El datáfono no cuadra con la tarjeta",""),""))</f>
        <v/>
      </c>
      <c r="Q343" s="4" t="n"/>
    </row>
    <row r="344">
      <c r="A344" s="7" t="n"/>
      <c r="B344" t="str">
        <f>IF(ISNUMBER(A344),CHOOSE(WEEKDAY(A344,2),"lunes","martes","miércoles","jueves","viernes","sábado","domingo"),"")</f>
        <v/>
      </c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  <c r="L344" s="8" t="str">
        <f>IF(AND(ISNUMBER(A344),COUNT(D344:F344)&gt;0),N(D344)+N(E344)+N(F344),"")</f>
        <v/>
      </c>
      <c r="M344" s="8" t="str">
        <f>IF(AND(ISNUMBER(L344),ISNUMBER($C$5),$C$5&gt;=0),ROUND(L344/(1+$C$5/100),2),"")</f>
        <v/>
      </c>
      <c r="N344" s="8" t="str">
        <f>IF(AND(ISNUMBER(A344),COUNT(C344:D344)&gt;0),N(C344)+N(D344)-N(G344)-N(H344),"")</f>
        <v/>
      </c>
      <c r="O344" s="8" t="str">
        <f>IF(AND(ISNUMBER(N344),ISNUMBER(I344)),ROUND(I344-N344,2),"")</f>
        <v/>
      </c>
      <c r="P344" s="9" t="str">
        <f>IF(ISNUMBER(O344),IF(AND(ISNUMBER($G$5),ABS(O344)&gt;$G$5),"Revisa el descuadre",IF(AND(ISNUMBER(J344),ISNUMBER(E344)),IF(ROUND(J344-E344,2)&lt;&gt;0,"El datáfono no cuadra con la tarjeta",""),"")),IF(AND(ISNUMBER(J344),ISNUMBER(E344)),IF(ROUND(J344-E344,2)&lt;&gt;0,"El datáfono no cuadra con la tarjeta",""),""))</f>
        <v/>
      </c>
      <c r="Q344" s="4" t="n"/>
    </row>
    <row r="345">
      <c r="A345" s="7" t="n"/>
      <c r="B345" t="str">
        <f>IF(ISNUMBER(A345),CHOOSE(WEEKDAY(A345,2),"lunes","martes","miércoles","jueves","viernes","sábado","domingo"),"")</f>
        <v/>
      </c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  <c r="L345" s="8" t="str">
        <f>IF(AND(ISNUMBER(A345),COUNT(D345:F345)&gt;0),N(D345)+N(E345)+N(F345),"")</f>
        <v/>
      </c>
      <c r="M345" s="8" t="str">
        <f>IF(AND(ISNUMBER(L345),ISNUMBER($C$5),$C$5&gt;=0),ROUND(L345/(1+$C$5/100),2),"")</f>
        <v/>
      </c>
      <c r="N345" s="8" t="str">
        <f>IF(AND(ISNUMBER(A345),COUNT(C345:D345)&gt;0),N(C345)+N(D345)-N(G345)-N(H345),"")</f>
        <v/>
      </c>
      <c r="O345" s="8" t="str">
        <f>IF(AND(ISNUMBER(N345),ISNUMBER(I345)),ROUND(I345-N345,2),"")</f>
        <v/>
      </c>
      <c r="P345" s="9" t="str">
        <f>IF(ISNUMBER(O345),IF(AND(ISNUMBER($G$5),ABS(O345)&gt;$G$5),"Revisa el descuadre",IF(AND(ISNUMBER(J345),ISNUMBER(E345)),IF(ROUND(J345-E345,2)&lt;&gt;0,"El datáfono no cuadra con la tarjeta",""),"")),IF(AND(ISNUMBER(J345),ISNUMBER(E345)),IF(ROUND(J345-E345,2)&lt;&gt;0,"El datáfono no cuadra con la tarjeta",""),""))</f>
        <v/>
      </c>
      <c r="Q345" s="4" t="n"/>
    </row>
    <row r="346">
      <c r="A346" s="7" t="n"/>
      <c r="B346" t="str">
        <f>IF(ISNUMBER(A346),CHOOSE(WEEKDAY(A346,2),"lunes","martes","miércoles","jueves","viernes","sábado","domingo"),"")</f>
        <v/>
      </c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  <c r="L346" s="8" t="str">
        <f>IF(AND(ISNUMBER(A346),COUNT(D346:F346)&gt;0),N(D346)+N(E346)+N(F346),"")</f>
        <v/>
      </c>
      <c r="M346" s="8" t="str">
        <f>IF(AND(ISNUMBER(L346),ISNUMBER($C$5),$C$5&gt;=0),ROUND(L346/(1+$C$5/100),2),"")</f>
        <v/>
      </c>
      <c r="N346" s="8" t="str">
        <f>IF(AND(ISNUMBER(A346),COUNT(C346:D346)&gt;0),N(C346)+N(D346)-N(G346)-N(H346),"")</f>
        <v/>
      </c>
      <c r="O346" s="8" t="str">
        <f>IF(AND(ISNUMBER(N346),ISNUMBER(I346)),ROUND(I346-N346,2),"")</f>
        <v/>
      </c>
      <c r="P346" s="9" t="str">
        <f>IF(ISNUMBER(O346),IF(AND(ISNUMBER($G$5),ABS(O346)&gt;$G$5),"Revisa el descuadre",IF(AND(ISNUMBER(J346),ISNUMBER(E346)),IF(ROUND(J346-E346,2)&lt;&gt;0,"El datáfono no cuadra con la tarjeta",""),"")),IF(AND(ISNUMBER(J346),ISNUMBER(E346)),IF(ROUND(J346-E346,2)&lt;&gt;0,"El datáfono no cuadra con la tarjeta",""),""))</f>
        <v/>
      </c>
      <c r="Q346" s="4" t="n"/>
    </row>
    <row r="347">
      <c r="A347" s="7" t="n"/>
      <c r="B347" t="str">
        <f>IF(ISNUMBER(A347),CHOOSE(WEEKDAY(A347,2),"lunes","martes","miércoles","jueves","viernes","sábado","domingo"),"")</f>
        <v/>
      </c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  <c r="L347" s="8" t="str">
        <f>IF(AND(ISNUMBER(A347),COUNT(D347:F347)&gt;0),N(D347)+N(E347)+N(F347),"")</f>
        <v/>
      </c>
      <c r="M347" s="8" t="str">
        <f>IF(AND(ISNUMBER(L347),ISNUMBER($C$5),$C$5&gt;=0),ROUND(L347/(1+$C$5/100),2),"")</f>
        <v/>
      </c>
      <c r="N347" s="8" t="str">
        <f>IF(AND(ISNUMBER(A347),COUNT(C347:D347)&gt;0),N(C347)+N(D347)-N(G347)-N(H347),"")</f>
        <v/>
      </c>
      <c r="O347" s="8" t="str">
        <f>IF(AND(ISNUMBER(N347),ISNUMBER(I347)),ROUND(I347-N347,2),"")</f>
        <v/>
      </c>
      <c r="P347" s="9" t="str">
        <f>IF(ISNUMBER(O347),IF(AND(ISNUMBER($G$5),ABS(O347)&gt;$G$5),"Revisa el descuadre",IF(AND(ISNUMBER(J347),ISNUMBER(E347)),IF(ROUND(J347-E347,2)&lt;&gt;0,"El datáfono no cuadra con la tarjeta",""),"")),IF(AND(ISNUMBER(J347),ISNUMBER(E347)),IF(ROUND(J347-E347,2)&lt;&gt;0,"El datáfono no cuadra con la tarjeta",""),""))</f>
        <v/>
      </c>
      <c r="Q347" s="4" t="n"/>
    </row>
    <row r="348">
      <c r="A348" s="7" t="n"/>
      <c r="B348" t="str">
        <f>IF(ISNUMBER(A348),CHOOSE(WEEKDAY(A348,2),"lunes","martes","miércoles","jueves","viernes","sábado","domingo"),"")</f>
        <v/>
      </c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  <c r="L348" s="8" t="str">
        <f>IF(AND(ISNUMBER(A348),COUNT(D348:F348)&gt;0),N(D348)+N(E348)+N(F348),"")</f>
        <v/>
      </c>
      <c r="M348" s="8" t="str">
        <f>IF(AND(ISNUMBER(L348),ISNUMBER($C$5),$C$5&gt;=0),ROUND(L348/(1+$C$5/100),2),"")</f>
        <v/>
      </c>
      <c r="N348" s="8" t="str">
        <f>IF(AND(ISNUMBER(A348),COUNT(C348:D348)&gt;0),N(C348)+N(D348)-N(G348)-N(H348),"")</f>
        <v/>
      </c>
      <c r="O348" s="8" t="str">
        <f>IF(AND(ISNUMBER(N348),ISNUMBER(I348)),ROUND(I348-N348,2),"")</f>
        <v/>
      </c>
      <c r="P348" s="9" t="str">
        <f>IF(ISNUMBER(O348),IF(AND(ISNUMBER($G$5),ABS(O348)&gt;$G$5),"Revisa el descuadre",IF(AND(ISNUMBER(J348),ISNUMBER(E348)),IF(ROUND(J348-E348,2)&lt;&gt;0,"El datáfono no cuadra con la tarjeta",""),"")),IF(AND(ISNUMBER(J348),ISNUMBER(E348)),IF(ROUND(J348-E348,2)&lt;&gt;0,"El datáfono no cuadra con la tarjeta",""),""))</f>
        <v/>
      </c>
      <c r="Q348" s="4" t="n"/>
    </row>
    <row r="349">
      <c r="A349" s="7" t="n"/>
      <c r="B349" t="str">
        <f>IF(ISNUMBER(A349),CHOOSE(WEEKDAY(A349,2),"lunes","martes","miércoles","jueves","viernes","sábado","domingo"),"")</f>
        <v/>
      </c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  <c r="L349" s="8" t="str">
        <f>IF(AND(ISNUMBER(A349),COUNT(D349:F349)&gt;0),N(D349)+N(E349)+N(F349),"")</f>
        <v/>
      </c>
      <c r="M349" s="8" t="str">
        <f>IF(AND(ISNUMBER(L349),ISNUMBER($C$5),$C$5&gt;=0),ROUND(L349/(1+$C$5/100),2),"")</f>
        <v/>
      </c>
      <c r="N349" s="8" t="str">
        <f>IF(AND(ISNUMBER(A349),COUNT(C349:D349)&gt;0),N(C349)+N(D349)-N(G349)-N(H349),"")</f>
        <v/>
      </c>
      <c r="O349" s="8" t="str">
        <f>IF(AND(ISNUMBER(N349),ISNUMBER(I349)),ROUND(I349-N349,2),"")</f>
        <v/>
      </c>
      <c r="P349" s="9" t="str">
        <f>IF(ISNUMBER(O349),IF(AND(ISNUMBER($G$5),ABS(O349)&gt;$G$5),"Revisa el descuadre",IF(AND(ISNUMBER(J349),ISNUMBER(E349)),IF(ROUND(J349-E349,2)&lt;&gt;0,"El datáfono no cuadra con la tarjeta",""),"")),IF(AND(ISNUMBER(J349),ISNUMBER(E349)),IF(ROUND(J349-E349,2)&lt;&gt;0,"El datáfono no cuadra con la tarjeta",""),""))</f>
        <v/>
      </c>
      <c r="Q349" s="4" t="n"/>
    </row>
    <row r="350">
      <c r="A350" s="7" t="n"/>
      <c r="B350" t="str">
        <f>IF(ISNUMBER(A350),CHOOSE(WEEKDAY(A350,2),"lunes","martes","miércoles","jueves","viernes","sábado","domingo"),"")</f>
        <v/>
      </c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  <c r="L350" s="8" t="str">
        <f>IF(AND(ISNUMBER(A350),COUNT(D350:F350)&gt;0),N(D350)+N(E350)+N(F350),"")</f>
        <v/>
      </c>
      <c r="M350" s="8" t="str">
        <f>IF(AND(ISNUMBER(L350),ISNUMBER($C$5),$C$5&gt;=0),ROUND(L350/(1+$C$5/100),2),"")</f>
        <v/>
      </c>
      <c r="N350" s="8" t="str">
        <f>IF(AND(ISNUMBER(A350),COUNT(C350:D350)&gt;0),N(C350)+N(D350)-N(G350)-N(H350),"")</f>
        <v/>
      </c>
      <c r="O350" s="8" t="str">
        <f>IF(AND(ISNUMBER(N350),ISNUMBER(I350)),ROUND(I350-N350,2),"")</f>
        <v/>
      </c>
      <c r="P350" s="9" t="str">
        <f>IF(ISNUMBER(O350),IF(AND(ISNUMBER($G$5),ABS(O350)&gt;$G$5),"Revisa el descuadre",IF(AND(ISNUMBER(J350),ISNUMBER(E350)),IF(ROUND(J350-E350,2)&lt;&gt;0,"El datáfono no cuadra con la tarjeta",""),"")),IF(AND(ISNUMBER(J350),ISNUMBER(E350)),IF(ROUND(J350-E350,2)&lt;&gt;0,"El datáfono no cuadra con la tarjeta",""),""))</f>
        <v/>
      </c>
      <c r="Q350" s="4" t="n"/>
    </row>
    <row r="351">
      <c r="A351" s="7" t="n"/>
      <c r="B351" t="str">
        <f>IF(ISNUMBER(A351),CHOOSE(WEEKDAY(A351,2),"lunes","martes","miércoles","jueves","viernes","sábado","domingo"),"")</f>
        <v/>
      </c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  <c r="L351" s="8" t="str">
        <f>IF(AND(ISNUMBER(A351),COUNT(D351:F351)&gt;0),N(D351)+N(E351)+N(F351),"")</f>
        <v/>
      </c>
      <c r="M351" s="8" t="str">
        <f>IF(AND(ISNUMBER(L351),ISNUMBER($C$5),$C$5&gt;=0),ROUND(L351/(1+$C$5/100),2),"")</f>
        <v/>
      </c>
      <c r="N351" s="8" t="str">
        <f>IF(AND(ISNUMBER(A351),COUNT(C351:D351)&gt;0),N(C351)+N(D351)-N(G351)-N(H351),"")</f>
        <v/>
      </c>
      <c r="O351" s="8" t="str">
        <f>IF(AND(ISNUMBER(N351),ISNUMBER(I351)),ROUND(I351-N351,2),"")</f>
        <v/>
      </c>
      <c r="P351" s="9" t="str">
        <f>IF(ISNUMBER(O351),IF(AND(ISNUMBER($G$5),ABS(O351)&gt;$G$5),"Revisa el descuadre",IF(AND(ISNUMBER(J351),ISNUMBER(E351)),IF(ROUND(J351-E351,2)&lt;&gt;0,"El datáfono no cuadra con la tarjeta",""),"")),IF(AND(ISNUMBER(J351),ISNUMBER(E351)),IF(ROUND(J351-E351,2)&lt;&gt;0,"El datáfono no cuadra con la tarjeta",""),""))</f>
        <v/>
      </c>
      <c r="Q351" s="4" t="n"/>
    </row>
    <row r="352">
      <c r="A352" s="7" t="n"/>
      <c r="B352" t="str">
        <f>IF(ISNUMBER(A352),CHOOSE(WEEKDAY(A352,2),"lunes","martes","miércoles","jueves","viernes","sábado","domingo"),"")</f>
        <v/>
      </c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  <c r="L352" s="8" t="str">
        <f>IF(AND(ISNUMBER(A352),COUNT(D352:F352)&gt;0),N(D352)+N(E352)+N(F352),"")</f>
        <v/>
      </c>
      <c r="M352" s="8" t="str">
        <f>IF(AND(ISNUMBER(L352),ISNUMBER($C$5),$C$5&gt;=0),ROUND(L352/(1+$C$5/100),2),"")</f>
        <v/>
      </c>
      <c r="N352" s="8" t="str">
        <f>IF(AND(ISNUMBER(A352),COUNT(C352:D352)&gt;0),N(C352)+N(D352)-N(G352)-N(H352),"")</f>
        <v/>
      </c>
      <c r="O352" s="8" t="str">
        <f>IF(AND(ISNUMBER(N352),ISNUMBER(I352)),ROUND(I352-N352,2),"")</f>
        <v/>
      </c>
      <c r="P352" s="9" t="str">
        <f>IF(ISNUMBER(O352),IF(AND(ISNUMBER($G$5),ABS(O352)&gt;$G$5),"Revisa el descuadre",IF(AND(ISNUMBER(J352),ISNUMBER(E352)),IF(ROUND(J352-E352,2)&lt;&gt;0,"El datáfono no cuadra con la tarjeta",""),"")),IF(AND(ISNUMBER(J352),ISNUMBER(E352)),IF(ROUND(J352-E352,2)&lt;&gt;0,"El datáfono no cuadra con la tarjeta",""),""))</f>
        <v/>
      </c>
      <c r="Q352" s="4" t="n"/>
    </row>
    <row r="353">
      <c r="A353" s="7" t="n"/>
      <c r="B353" t="str">
        <f>IF(ISNUMBER(A353),CHOOSE(WEEKDAY(A353,2),"lunes","martes","miércoles","jueves","viernes","sábado","domingo"),"")</f>
        <v/>
      </c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  <c r="L353" s="8" t="str">
        <f>IF(AND(ISNUMBER(A353),COUNT(D353:F353)&gt;0),N(D353)+N(E353)+N(F353),"")</f>
        <v/>
      </c>
      <c r="M353" s="8" t="str">
        <f>IF(AND(ISNUMBER(L353),ISNUMBER($C$5),$C$5&gt;=0),ROUND(L353/(1+$C$5/100),2),"")</f>
        <v/>
      </c>
      <c r="N353" s="8" t="str">
        <f>IF(AND(ISNUMBER(A353),COUNT(C353:D353)&gt;0),N(C353)+N(D353)-N(G353)-N(H353),"")</f>
        <v/>
      </c>
      <c r="O353" s="8" t="str">
        <f>IF(AND(ISNUMBER(N353),ISNUMBER(I353)),ROUND(I353-N353,2),"")</f>
        <v/>
      </c>
      <c r="P353" s="9" t="str">
        <f>IF(ISNUMBER(O353),IF(AND(ISNUMBER($G$5),ABS(O353)&gt;$G$5),"Revisa el descuadre",IF(AND(ISNUMBER(J353),ISNUMBER(E353)),IF(ROUND(J353-E353,2)&lt;&gt;0,"El datáfono no cuadra con la tarjeta",""),"")),IF(AND(ISNUMBER(J353),ISNUMBER(E353)),IF(ROUND(J353-E353,2)&lt;&gt;0,"El datáfono no cuadra con la tarjeta",""),""))</f>
        <v/>
      </c>
      <c r="Q353" s="4" t="n"/>
    </row>
    <row r="354">
      <c r="A354" s="7" t="n"/>
      <c r="B354" t="str">
        <f>IF(ISNUMBER(A354),CHOOSE(WEEKDAY(A354,2),"lunes","martes","miércoles","jueves","viernes","sábado","domingo"),"")</f>
        <v/>
      </c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  <c r="L354" s="8" t="str">
        <f>IF(AND(ISNUMBER(A354),COUNT(D354:F354)&gt;0),N(D354)+N(E354)+N(F354),"")</f>
        <v/>
      </c>
      <c r="M354" s="8" t="str">
        <f>IF(AND(ISNUMBER(L354),ISNUMBER($C$5),$C$5&gt;=0),ROUND(L354/(1+$C$5/100),2),"")</f>
        <v/>
      </c>
      <c r="N354" s="8" t="str">
        <f>IF(AND(ISNUMBER(A354),COUNT(C354:D354)&gt;0),N(C354)+N(D354)-N(G354)-N(H354),"")</f>
        <v/>
      </c>
      <c r="O354" s="8" t="str">
        <f>IF(AND(ISNUMBER(N354),ISNUMBER(I354)),ROUND(I354-N354,2),"")</f>
        <v/>
      </c>
      <c r="P354" s="9" t="str">
        <f>IF(ISNUMBER(O354),IF(AND(ISNUMBER($G$5),ABS(O354)&gt;$G$5),"Revisa el descuadre",IF(AND(ISNUMBER(J354),ISNUMBER(E354)),IF(ROUND(J354-E354,2)&lt;&gt;0,"El datáfono no cuadra con la tarjeta",""),"")),IF(AND(ISNUMBER(J354),ISNUMBER(E354)),IF(ROUND(J354-E354,2)&lt;&gt;0,"El datáfono no cuadra con la tarjeta",""),""))</f>
        <v/>
      </c>
      <c r="Q354" s="4" t="n"/>
    </row>
    <row r="355">
      <c r="A355" s="7" t="n"/>
      <c r="B355" t="str">
        <f>IF(ISNUMBER(A355),CHOOSE(WEEKDAY(A355,2),"lunes","martes","miércoles","jueves","viernes","sábado","domingo"),"")</f>
        <v/>
      </c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  <c r="L355" s="8" t="str">
        <f>IF(AND(ISNUMBER(A355),COUNT(D355:F355)&gt;0),N(D355)+N(E355)+N(F355),"")</f>
        <v/>
      </c>
      <c r="M355" s="8" t="str">
        <f>IF(AND(ISNUMBER(L355),ISNUMBER($C$5),$C$5&gt;=0),ROUND(L355/(1+$C$5/100),2),"")</f>
        <v/>
      </c>
      <c r="N355" s="8" t="str">
        <f>IF(AND(ISNUMBER(A355),COUNT(C355:D355)&gt;0),N(C355)+N(D355)-N(G355)-N(H355),"")</f>
        <v/>
      </c>
      <c r="O355" s="8" t="str">
        <f>IF(AND(ISNUMBER(N355),ISNUMBER(I355)),ROUND(I355-N355,2),"")</f>
        <v/>
      </c>
      <c r="P355" s="9" t="str">
        <f>IF(ISNUMBER(O355),IF(AND(ISNUMBER($G$5),ABS(O355)&gt;$G$5),"Revisa el descuadre",IF(AND(ISNUMBER(J355),ISNUMBER(E355)),IF(ROUND(J355-E355,2)&lt;&gt;0,"El datáfono no cuadra con la tarjeta",""),"")),IF(AND(ISNUMBER(J355),ISNUMBER(E355)),IF(ROUND(J355-E355,2)&lt;&gt;0,"El datáfono no cuadra con la tarjeta",""),""))</f>
        <v/>
      </c>
      <c r="Q355" s="4" t="n"/>
    </row>
    <row r="356">
      <c r="A356" s="7" t="n"/>
      <c r="B356" t="str">
        <f>IF(ISNUMBER(A356),CHOOSE(WEEKDAY(A356,2),"lunes","martes","miércoles","jueves","viernes","sábado","domingo"),"")</f>
        <v/>
      </c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  <c r="L356" s="8" t="str">
        <f>IF(AND(ISNUMBER(A356),COUNT(D356:F356)&gt;0),N(D356)+N(E356)+N(F356),"")</f>
        <v/>
      </c>
      <c r="M356" s="8" t="str">
        <f>IF(AND(ISNUMBER(L356),ISNUMBER($C$5),$C$5&gt;=0),ROUND(L356/(1+$C$5/100),2),"")</f>
        <v/>
      </c>
      <c r="N356" s="8" t="str">
        <f>IF(AND(ISNUMBER(A356),COUNT(C356:D356)&gt;0),N(C356)+N(D356)-N(G356)-N(H356),"")</f>
        <v/>
      </c>
      <c r="O356" s="8" t="str">
        <f>IF(AND(ISNUMBER(N356),ISNUMBER(I356)),ROUND(I356-N356,2),"")</f>
        <v/>
      </c>
      <c r="P356" s="9" t="str">
        <f>IF(ISNUMBER(O356),IF(AND(ISNUMBER($G$5),ABS(O356)&gt;$G$5),"Revisa el descuadre",IF(AND(ISNUMBER(J356),ISNUMBER(E356)),IF(ROUND(J356-E356,2)&lt;&gt;0,"El datáfono no cuadra con la tarjeta",""),"")),IF(AND(ISNUMBER(J356),ISNUMBER(E356)),IF(ROUND(J356-E356,2)&lt;&gt;0,"El datáfono no cuadra con la tarjeta",""),""))</f>
        <v/>
      </c>
      <c r="Q356" s="4" t="n"/>
    </row>
    <row r="357">
      <c r="A357" s="7" t="n"/>
      <c r="B357" t="str">
        <f>IF(ISNUMBER(A357),CHOOSE(WEEKDAY(A357,2),"lunes","martes","miércoles","jueves","viernes","sábado","domingo"),"")</f>
        <v/>
      </c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  <c r="L357" s="8" t="str">
        <f>IF(AND(ISNUMBER(A357),COUNT(D357:F357)&gt;0),N(D357)+N(E357)+N(F357),"")</f>
        <v/>
      </c>
      <c r="M357" s="8" t="str">
        <f>IF(AND(ISNUMBER(L357),ISNUMBER($C$5),$C$5&gt;=0),ROUND(L357/(1+$C$5/100),2),"")</f>
        <v/>
      </c>
      <c r="N357" s="8" t="str">
        <f>IF(AND(ISNUMBER(A357),COUNT(C357:D357)&gt;0),N(C357)+N(D357)-N(G357)-N(H357),"")</f>
        <v/>
      </c>
      <c r="O357" s="8" t="str">
        <f>IF(AND(ISNUMBER(N357),ISNUMBER(I357)),ROUND(I357-N357,2),"")</f>
        <v/>
      </c>
      <c r="P357" s="9" t="str">
        <f>IF(ISNUMBER(O357),IF(AND(ISNUMBER($G$5),ABS(O357)&gt;$G$5),"Revisa el descuadre",IF(AND(ISNUMBER(J357),ISNUMBER(E357)),IF(ROUND(J357-E357,2)&lt;&gt;0,"El datáfono no cuadra con la tarjeta",""),"")),IF(AND(ISNUMBER(J357),ISNUMBER(E357)),IF(ROUND(J357-E357,2)&lt;&gt;0,"El datáfono no cuadra con la tarjeta",""),""))</f>
        <v/>
      </c>
      <c r="Q357" s="4" t="n"/>
    </row>
    <row r="358">
      <c r="A358" s="7" t="n"/>
      <c r="B358" t="str">
        <f>IF(ISNUMBER(A358),CHOOSE(WEEKDAY(A358,2),"lunes","martes","miércoles","jueves","viernes","sábado","domingo"),"")</f>
        <v/>
      </c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  <c r="L358" s="8" t="str">
        <f>IF(AND(ISNUMBER(A358),COUNT(D358:F358)&gt;0),N(D358)+N(E358)+N(F358),"")</f>
        <v/>
      </c>
      <c r="M358" s="8" t="str">
        <f>IF(AND(ISNUMBER(L358),ISNUMBER($C$5),$C$5&gt;=0),ROUND(L358/(1+$C$5/100),2),"")</f>
        <v/>
      </c>
      <c r="N358" s="8" t="str">
        <f>IF(AND(ISNUMBER(A358),COUNT(C358:D358)&gt;0),N(C358)+N(D358)-N(G358)-N(H358),"")</f>
        <v/>
      </c>
      <c r="O358" s="8" t="str">
        <f>IF(AND(ISNUMBER(N358),ISNUMBER(I358)),ROUND(I358-N358,2),"")</f>
        <v/>
      </c>
      <c r="P358" s="9" t="str">
        <f>IF(ISNUMBER(O358),IF(AND(ISNUMBER($G$5),ABS(O358)&gt;$G$5),"Revisa el descuadre",IF(AND(ISNUMBER(J358),ISNUMBER(E358)),IF(ROUND(J358-E358,2)&lt;&gt;0,"El datáfono no cuadra con la tarjeta",""),"")),IF(AND(ISNUMBER(J358),ISNUMBER(E358)),IF(ROUND(J358-E358,2)&lt;&gt;0,"El datáfono no cuadra con la tarjeta",""),""))</f>
        <v/>
      </c>
      <c r="Q358" s="4" t="n"/>
    </row>
    <row r="359">
      <c r="A359" s="7" t="n"/>
      <c r="B359" t="str">
        <f>IF(ISNUMBER(A359),CHOOSE(WEEKDAY(A359,2),"lunes","martes","miércoles","jueves","viernes","sábado","domingo"),"")</f>
        <v/>
      </c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  <c r="L359" s="8" t="str">
        <f>IF(AND(ISNUMBER(A359),COUNT(D359:F359)&gt;0),N(D359)+N(E359)+N(F359),"")</f>
        <v/>
      </c>
      <c r="M359" s="8" t="str">
        <f>IF(AND(ISNUMBER(L359),ISNUMBER($C$5),$C$5&gt;=0),ROUND(L359/(1+$C$5/100),2),"")</f>
        <v/>
      </c>
      <c r="N359" s="8" t="str">
        <f>IF(AND(ISNUMBER(A359),COUNT(C359:D359)&gt;0),N(C359)+N(D359)-N(G359)-N(H359),"")</f>
        <v/>
      </c>
      <c r="O359" s="8" t="str">
        <f>IF(AND(ISNUMBER(N359),ISNUMBER(I359)),ROUND(I359-N359,2),"")</f>
        <v/>
      </c>
      <c r="P359" s="9" t="str">
        <f>IF(ISNUMBER(O359),IF(AND(ISNUMBER($G$5),ABS(O359)&gt;$G$5),"Revisa el descuadre",IF(AND(ISNUMBER(J359),ISNUMBER(E359)),IF(ROUND(J359-E359,2)&lt;&gt;0,"El datáfono no cuadra con la tarjeta",""),"")),IF(AND(ISNUMBER(J359),ISNUMBER(E359)),IF(ROUND(J359-E359,2)&lt;&gt;0,"El datáfono no cuadra con la tarjeta",""),""))</f>
        <v/>
      </c>
      <c r="Q359" s="4" t="n"/>
    </row>
    <row r="360">
      <c r="A360" s="7" t="n"/>
      <c r="B360" t="str">
        <f>IF(ISNUMBER(A360),CHOOSE(WEEKDAY(A360,2),"lunes","martes","miércoles","jueves","viernes","sábado","domingo"),"")</f>
        <v/>
      </c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  <c r="L360" s="8" t="str">
        <f>IF(AND(ISNUMBER(A360),COUNT(D360:F360)&gt;0),N(D360)+N(E360)+N(F360),"")</f>
        <v/>
      </c>
      <c r="M360" s="8" t="str">
        <f>IF(AND(ISNUMBER(L360),ISNUMBER($C$5),$C$5&gt;=0),ROUND(L360/(1+$C$5/100),2),"")</f>
        <v/>
      </c>
      <c r="N360" s="8" t="str">
        <f>IF(AND(ISNUMBER(A360),COUNT(C360:D360)&gt;0),N(C360)+N(D360)-N(G360)-N(H360),"")</f>
        <v/>
      </c>
      <c r="O360" s="8" t="str">
        <f>IF(AND(ISNUMBER(N360),ISNUMBER(I360)),ROUND(I360-N360,2),"")</f>
        <v/>
      </c>
      <c r="P360" s="9" t="str">
        <f>IF(ISNUMBER(O360),IF(AND(ISNUMBER($G$5),ABS(O360)&gt;$G$5),"Revisa el descuadre",IF(AND(ISNUMBER(J360),ISNUMBER(E360)),IF(ROUND(J360-E360,2)&lt;&gt;0,"El datáfono no cuadra con la tarjeta",""),"")),IF(AND(ISNUMBER(J360),ISNUMBER(E360)),IF(ROUND(J360-E360,2)&lt;&gt;0,"El datáfono no cuadra con la tarjeta",""),""))</f>
        <v/>
      </c>
      <c r="Q360" s="4" t="n"/>
    </row>
    <row r="361">
      <c r="A361" s="7" t="n"/>
      <c r="B361" t="str">
        <f>IF(ISNUMBER(A361),CHOOSE(WEEKDAY(A361,2),"lunes","martes","miércoles","jueves","viernes","sábado","domingo"),"")</f>
        <v/>
      </c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  <c r="L361" s="8" t="str">
        <f>IF(AND(ISNUMBER(A361),COUNT(D361:F361)&gt;0),N(D361)+N(E361)+N(F361),"")</f>
        <v/>
      </c>
      <c r="M361" s="8" t="str">
        <f>IF(AND(ISNUMBER(L361),ISNUMBER($C$5),$C$5&gt;=0),ROUND(L361/(1+$C$5/100),2),"")</f>
        <v/>
      </c>
      <c r="N361" s="8" t="str">
        <f>IF(AND(ISNUMBER(A361),COUNT(C361:D361)&gt;0),N(C361)+N(D361)-N(G361)-N(H361),"")</f>
        <v/>
      </c>
      <c r="O361" s="8" t="str">
        <f>IF(AND(ISNUMBER(N361),ISNUMBER(I361)),ROUND(I361-N361,2),"")</f>
        <v/>
      </c>
      <c r="P361" s="9" t="str">
        <f>IF(ISNUMBER(O361),IF(AND(ISNUMBER($G$5),ABS(O361)&gt;$G$5),"Revisa el descuadre",IF(AND(ISNUMBER(J361),ISNUMBER(E361)),IF(ROUND(J361-E361,2)&lt;&gt;0,"El datáfono no cuadra con la tarjeta",""),"")),IF(AND(ISNUMBER(J361),ISNUMBER(E361)),IF(ROUND(J361-E361,2)&lt;&gt;0,"El datáfono no cuadra con la tarjeta",""),""))</f>
        <v/>
      </c>
      <c r="Q361" s="4" t="n"/>
    </row>
    <row r="362">
      <c r="A362" s="7" t="n"/>
      <c r="B362" t="str">
        <f>IF(ISNUMBER(A362),CHOOSE(WEEKDAY(A362,2),"lunes","martes","miércoles","jueves","viernes","sábado","domingo"),"")</f>
        <v/>
      </c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  <c r="L362" s="8" t="str">
        <f>IF(AND(ISNUMBER(A362),COUNT(D362:F362)&gt;0),N(D362)+N(E362)+N(F362),"")</f>
        <v/>
      </c>
      <c r="M362" s="8" t="str">
        <f>IF(AND(ISNUMBER(L362),ISNUMBER($C$5),$C$5&gt;=0),ROUND(L362/(1+$C$5/100),2),"")</f>
        <v/>
      </c>
      <c r="N362" s="8" t="str">
        <f>IF(AND(ISNUMBER(A362),COUNT(C362:D362)&gt;0),N(C362)+N(D362)-N(G362)-N(H362),"")</f>
        <v/>
      </c>
      <c r="O362" s="8" t="str">
        <f>IF(AND(ISNUMBER(N362),ISNUMBER(I362)),ROUND(I362-N362,2),"")</f>
        <v/>
      </c>
      <c r="P362" s="9" t="str">
        <f>IF(ISNUMBER(O362),IF(AND(ISNUMBER($G$5),ABS(O362)&gt;$G$5),"Revisa el descuadre",IF(AND(ISNUMBER(J362),ISNUMBER(E362)),IF(ROUND(J362-E362,2)&lt;&gt;0,"El datáfono no cuadra con la tarjeta",""),"")),IF(AND(ISNUMBER(J362),ISNUMBER(E362)),IF(ROUND(J362-E362,2)&lt;&gt;0,"El datáfono no cuadra con la tarjeta",""),""))</f>
        <v/>
      </c>
      <c r="Q362" s="4" t="n"/>
    </row>
    <row r="363">
      <c r="A363" s="7" t="n"/>
      <c r="B363" t="str">
        <f>IF(ISNUMBER(A363),CHOOSE(WEEKDAY(A363,2),"lunes","martes","miércoles","jueves","viernes","sábado","domingo"),"")</f>
        <v/>
      </c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  <c r="L363" s="8" t="str">
        <f>IF(AND(ISNUMBER(A363),COUNT(D363:F363)&gt;0),N(D363)+N(E363)+N(F363),"")</f>
        <v/>
      </c>
      <c r="M363" s="8" t="str">
        <f>IF(AND(ISNUMBER(L363),ISNUMBER($C$5),$C$5&gt;=0),ROUND(L363/(1+$C$5/100),2),"")</f>
        <v/>
      </c>
      <c r="N363" s="8" t="str">
        <f>IF(AND(ISNUMBER(A363),COUNT(C363:D363)&gt;0),N(C363)+N(D363)-N(G363)-N(H363),"")</f>
        <v/>
      </c>
      <c r="O363" s="8" t="str">
        <f>IF(AND(ISNUMBER(N363),ISNUMBER(I363)),ROUND(I363-N363,2),"")</f>
        <v/>
      </c>
      <c r="P363" s="9" t="str">
        <f>IF(ISNUMBER(O363),IF(AND(ISNUMBER($G$5),ABS(O363)&gt;$G$5),"Revisa el descuadre",IF(AND(ISNUMBER(J363),ISNUMBER(E363)),IF(ROUND(J363-E363,2)&lt;&gt;0,"El datáfono no cuadra con la tarjeta",""),"")),IF(AND(ISNUMBER(J363),ISNUMBER(E363)),IF(ROUND(J363-E363,2)&lt;&gt;0,"El datáfono no cuadra con la tarjeta",""),""))</f>
        <v/>
      </c>
      <c r="Q363" s="4" t="n"/>
    </row>
    <row r="364">
      <c r="A364" s="7" t="n"/>
      <c r="B364" t="str">
        <f>IF(ISNUMBER(A364),CHOOSE(WEEKDAY(A364,2),"lunes","martes","miércoles","jueves","viernes","sábado","domingo"),"")</f>
        <v/>
      </c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  <c r="L364" s="8" t="str">
        <f>IF(AND(ISNUMBER(A364),COUNT(D364:F364)&gt;0),N(D364)+N(E364)+N(F364),"")</f>
        <v/>
      </c>
      <c r="M364" s="8" t="str">
        <f>IF(AND(ISNUMBER(L364),ISNUMBER($C$5),$C$5&gt;=0),ROUND(L364/(1+$C$5/100),2),"")</f>
        <v/>
      </c>
      <c r="N364" s="8" t="str">
        <f>IF(AND(ISNUMBER(A364),COUNT(C364:D364)&gt;0),N(C364)+N(D364)-N(G364)-N(H364),"")</f>
        <v/>
      </c>
      <c r="O364" s="8" t="str">
        <f>IF(AND(ISNUMBER(N364),ISNUMBER(I364)),ROUND(I364-N364,2),"")</f>
        <v/>
      </c>
      <c r="P364" s="9" t="str">
        <f>IF(ISNUMBER(O364),IF(AND(ISNUMBER($G$5),ABS(O364)&gt;$G$5),"Revisa el descuadre",IF(AND(ISNUMBER(J364),ISNUMBER(E364)),IF(ROUND(J364-E364,2)&lt;&gt;0,"El datáfono no cuadra con la tarjeta",""),"")),IF(AND(ISNUMBER(J364),ISNUMBER(E364)),IF(ROUND(J364-E364,2)&lt;&gt;0,"El datáfono no cuadra con la tarjeta",""),""))</f>
        <v/>
      </c>
      <c r="Q364" s="4" t="n"/>
    </row>
    <row r="365">
      <c r="A365" s="7" t="n"/>
      <c r="B365" t="str">
        <f>IF(ISNUMBER(A365),CHOOSE(WEEKDAY(A365,2),"lunes","martes","miércoles","jueves","viernes","sábado","domingo"),"")</f>
        <v/>
      </c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  <c r="L365" s="8" t="str">
        <f>IF(AND(ISNUMBER(A365),COUNT(D365:F365)&gt;0),N(D365)+N(E365)+N(F365),"")</f>
        <v/>
      </c>
      <c r="M365" s="8" t="str">
        <f>IF(AND(ISNUMBER(L365),ISNUMBER($C$5),$C$5&gt;=0),ROUND(L365/(1+$C$5/100),2),"")</f>
        <v/>
      </c>
      <c r="N365" s="8" t="str">
        <f>IF(AND(ISNUMBER(A365),COUNT(C365:D365)&gt;0),N(C365)+N(D365)-N(G365)-N(H365),"")</f>
        <v/>
      </c>
      <c r="O365" s="8" t="str">
        <f>IF(AND(ISNUMBER(N365),ISNUMBER(I365)),ROUND(I365-N365,2),"")</f>
        <v/>
      </c>
      <c r="P365" s="9" t="str">
        <f>IF(ISNUMBER(O365),IF(AND(ISNUMBER($G$5),ABS(O365)&gt;$G$5),"Revisa el descuadre",IF(AND(ISNUMBER(J365),ISNUMBER(E365)),IF(ROUND(J365-E365,2)&lt;&gt;0,"El datáfono no cuadra con la tarjeta",""),"")),IF(AND(ISNUMBER(J365),ISNUMBER(E365)),IF(ROUND(J365-E365,2)&lt;&gt;0,"El datáfono no cuadra con la tarjeta",""),""))</f>
        <v/>
      </c>
      <c r="Q365" s="4" t="n"/>
    </row>
    <row r="366">
      <c r="A366" s="7" t="n"/>
      <c r="B366" t="str">
        <f>IF(ISNUMBER(A366),CHOOSE(WEEKDAY(A366,2),"lunes","martes","miércoles","jueves","viernes","sábado","domingo"),"")</f>
        <v/>
      </c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  <c r="L366" s="8" t="str">
        <f>IF(AND(ISNUMBER(A366),COUNT(D366:F366)&gt;0),N(D366)+N(E366)+N(F366),"")</f>
        <v/>
      </c>
      <c r="M366" s="8" t="str">
        <f>IF(AND(ISNUMBER(L366),ISNUMBER($C$5),$C$5&gt;=0),ROUND(L366/(1+$C$5/100),2),"")</f>
        <v/>
      </c>
      <c r="N366" s="8" t="str">
        <f>IF(AND(ISNUMBER(A366),COUNT(C366:D366)&gt;0),N(C366)+N(D366)-N(G366)-N(H366),"")</f>
        <v/>
      </c>
      <c r="O366" s="8" t="str">
        <f>IF(AND(ISNUMBER(N366),ISNUMBER(I366)),ROUND(I366-N366,2),"")</f>
        <v/>
      </c>
      <c r="P366" s="9" t="str">
        <f>IF(ISNUMBER(O366),IF(AND(ISNUMBER($G$5),ABS(O366)&gt;$G$5),"Revisa el descuadre",IF(AND(ISNUMBER(J366),ISNUMBER(E366)),IF(ROUND(J366-E366,2)&lt;&gt;0,"El datáfono no cuadra con la tarjeta",""),"")),IF(AND(ISNUMBER(J366),ISNUMBER(E366)),IF(ROUND(J366-E366,2)&lt;&gt;0,"El datáfono no cuadra con la tarjeta",""),""))</f>
        <v/>
      </c>
      <c r="Q366" s="4" t="n"/>
    </row>
    <row r="367">
      <c r="A367" s="7" t="n"/>
      <c r="B367" t="str">
        <f>IF(ISNUMBER(A367),CHOOSE(WEEKDAY(A367,2),"lunes","martes","miércoles","jueves","viernes","sábado","domingo"),"")</f>
        <v/>
      </c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  <c r="L367" s="8" t="str">
        <f>IF(AND(ISNUMBER(A367),COUNT(D367:F367)&gt;0),N(D367)+N(E367)+N(F367),"")</f>
        <v/>
      </c>
      <c r="M367" s="8" t="str">
        <f>IF(AND(ISNUMBER(L367),ISNUMBER($C$5),$C$5&gt;=0),ROUND(L367/(1+$C$5/100),2),"")</f>
        <v/>
      </c>
      <c r="N367" s="8" t="str">
        <f>IF(AND(ISNUMBER(A367),COUNT(C367:D367)&gt;0),N(C367)+N(D367)-N(G367)-N(H367),"")</f>
        <v/>
      </c>
      <c r="O367" s="8" t="str">
        <f>IF(AND(ISNUMBER(N367),ISNUMBER(I367)),ROUND(I367-N367,2),"")</f>
        <v/>
      </c>
      <c r="P367" s="9" t="str">
        <f>IF(ISNUMBER(O367),IF(AND(ISNUMBER($G$5),ABS(O367)&gt;$G$5),"Revisa el descuadre",IF(AND(ISNUMBER(J367),ISNUMBER(E367)),IF(ROUND(J367-E367,2)&lt;&gt;0,"El datáfono no cuadra con la tarjeta",""),"")),IF(AND(ISNUMBER(J367),ISNUMBER(E367)),IF(ROUND(J367-E367,2)&lt;&gt;0,"El datáfono no cuadra con la tarjeta",""),""))</f>
        <v/>
      </c>
      <c r="Q367" s="4" t="n"/>
    </row>
    <row r="368">
      <c r="A368" s="7" t="n"/>
      <c r="B368" t="str">
        <f>IF(ISNUMBER(A368),CHOOSE(WEEKDAY(A368,2),"lunes","martes","miércoles","jueves","viernes","sábado","domingo"),"")</f>
        <v/>
      </c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  <c r="L368" s="8" t="str">
        <f>IF(AND(ISNUMBER(A368),COUNT(D368:F368)&gt;0),N(D368)+N(E368)+N(F368),"")</f>
        <v/>
      </c>
      <c r="M368" s="8" t="str">
        <f>IF(AND(ISNUMBER(L368),ISNUMBER($C$5),$C$5&gt;=0),ROUND(L368/(1+$C$5/100),2),"")</f>
        <v/>
      </c>
      <c r="N368" s="8" t="str">
        <f>IF(AND(ISNUMBER(A368),COUNT(C368:D368)&gt;0),N(C368)+N(D368)-N(G368)-N(H368),"")</f>
        <v/>
      </c>
      <c r="O368" s="8" t="str">
        <f>IF(AND(ISNUMBER(N368),ISNUMBER(I368)),ROUND(I368-N368,2),"")</f>
        <v/>
      </c>
      <c r="P368" s="9" t="str">
        <f>IF(ISNUMBER(O368),IF(AND(ISNUMBER($G$5),ABS(O368)&gt;$G$5),"Revisa el descuadre",IF(AND(ISNUMBER(J368),ISNUMBER(E368)),IF(ROUND(J368-E368,2)&lt;&gt;0,"El datáfono no cuadra con la tarjeta",""),"")),IF(AND(ISNUMBER(J368),ISNUMBER(E368)),IF(ROUND(J368-E368,2)&lt;&gt;0,"El datáfono no cuadra con la tarjeta",""),""))</f>
        <v/>
      </c>
      <c r="Q368" s="4" t="n"/>
    </row>
    <row r="369">
      <c r="A369" s="7" t="n"/>
      <c r="B369" t="str">
        <f>IF(ISNUMBER(A369),CHOOSE(WEEKDAY(A369,2),"lunes","martes","miércoles","jueves","viernes","sábado","domingo"),"")</f>
        <v/>
      </c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  <c r="L369" s="8" t="str">
        <f>IF(AND(ISNUMBER(A369),COUNT(D369:F369)&gt;0),N(D369)+N(E369)+N(F369),"")</f>
        <v/>
      </c>
      <c r="M369" s="8" t="str">
        <f>IF(AND(ISNUMBER(L369),ISNUMBER($C$5),$C$5&gt;=0),ROUND(L369/(1+$C$5/100),2),"")</f>
        <v/>
      </c>
      <c r="N369" s="8" t="str">
        <f>IF(AND(ISNUMBER(A369),COUNT(C369:D369)&gt;0),N(C369)+N(D369)-N(G369)-N(H369),"")</f>
        <v/>
      </c>
      <c r="O369" s="8" t="str">
        <f>IF(AND(ISNUMBER(N369),ISNUMBER(I369)),ROUND(I369-N369,2),"")</f>
        <v/>
      </c>
      <c r="P369" s="9" t="str">
        <f>IF(ISNUMBER(O369),IF(AND(ISNUMBER($G$5),ABS(O369)&gt;$G$5),"Revisa el descuadre",IF(AND(ISNUMBER(J369),ISNUMBER(E369)),IF(ROUND(J369-E369,2)&lt;&gt;0,"El datáfono no cuadra con la tarjeta",""),"")),IF(AND(ISNUMBER(J369),ISNUMBER(E369)),IF(ROUND(J369-E369,2)&lt;&gt;0,"El datáfono no cuadra con la tarjeta",""),""))</f>
        <v/>
      </c>
      <c r="Q369" s="4" t="n"/>
    </row>
    <row r="370">
      <c r="A370" s="7" t="n"/>
      <c r="B370" t="str">
        <f>IF(ISNUMBER(A370),CHOOSE(WEEKDAY(A370,2),"lunes","martes","miércoles","jueves","viernes","sábado","domingo"),"")</f>
        <v/>
      </c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  <c r="L370" s="8" t="str">
        <f>IF(AND(ISNUMBER(A370),COUNT(D370:F370)&gt;0),N(D370)+N(E370)+N(F370),"")</f>
        <v/>
      </c>
      <c r="M370" s="8" t="str">
        <f>IF(AND(ISNUMBER(L370),ISNUMBER($C$5),$C$5&gt;=0),ROUND(L370/(1+$C$5/100),2),"")</f>
        <v/>
      </c>
      <c r="N370" s="8" t="str">
        <f>IF(AND(ISNUMBER(A370),COUNT(C370:D370)&gt;0),N(C370)+N(D370)-N(G370)-N(H370),"")</f>
        <v/>
      </c>
      <c r="O370" s="8" t="str">
        <f>IF(AND(ISNUMBER(N370),ISNUMBER(I370)),ROUND(I370-N370,2),"")</f>
        <v/>
      </c>
      <c r="P370" s="9" t="str">
        <f>IF(ISNUMBER(O370),IF(AND(ISNUMBER($G$5),ABS(O370)&gt;$G$5),"Revisa el descuadre",IF(AND(ISNUMBER(J370),ISNUMBER(E370)),IF(ROUND(J370-E370,2)&lt;&gt;0,"El datáfono no cuadra con la tarjeta",""),"")),IF(AND(ISNUMBER(J370),ISNUMBER(E370)),IF(ROUND(J370-E370,2)&lt;&gt;0,"El datáfono no cuadra con la tarjeta",""),""))</f>
        <v/>
      </c>
      <c r="Q370" s="4" t="n"/>
    </row>
    <row r="371">
      <c r="A371" s="7" t="n"/>
      <c r="B371" t="str">
        <f>IF(ISNUMBER(A371),CHOOSE(WEEKDAY(A371,2),"lunes","martes","miércoles","jueves","viernes","sábado","domingo"),"")</f>
        <v/>
      </c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  <c r="L371" s="8" t="str">
        <f>IF(AND(ISNUMBER(A371),COUNT(D371:F371)&gt;0),N(D371)+N(E371)+N(F371),"")</f>
        <v/>
      </c>
      <c r="M371" s="8" t="str">
        <f>IF(AND(ISNUMBER(L371),ISNUMBER($C$5),$C$5&gt;=0),ROUND(L371/(1+$C$5/100),2),"")</f>
        <v/>
      </c>
      <c r="N371" s="8" t="str">
        <f>IF(AND(ISNUMBER(A371),COUNT(C371:D371)&gt;0),N(C371)+N(D371)-N(G371)-N(H371),"")</f>
        <v/>
      </c>
      <c r="O371" s="8" t="str">
        <f>IF(AND(ISNUMBER(N371),ISNUMBER(I371)),ROUND(I371-N371,2),"")</f>
        <v/>
      </c>
      <c r="P371" s="9" t="str">
        <f>IF(ISNUMBER(O371),IF(AND(ISNUMBER($G$5),ABS(O371)&gt;$G$5),"Revisa el descuadre",IF(AND(ISNUMBER(J371),ISNUMBER(E371)),IF(ROUND(J371-E371,2)&lt;&gt;0,"El datáfono no cuadra con la tarjeta",""),"")),IF(AND(ISNUMBER(J371),ISNUMBER(E371)),IF(ROUND(J371-E371,2)&lt;&gt;0,"El datáfono no cuadra con la tarjeta",""),""))</f>
        <v/>
      </c>
      <c r="Q371" s="4" t="n"/>
    </row>
    <row r="372">
      <c r="A372" s="7" t="n"/>
      <c r="B372" t="str">
        <f>IF(ISNUMBER(A372),CHOOSE(WEEKDAY(A372,2),"lunes","martes","miércoles","jueves","viernes","sábado","domingo"),"")</f>
        <v/>
      </c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  <c r="L372" s="8" t="str">
        <f>IF(AND(ISNUMBER(A372),COUNT(D372:F372)&gt;0),N(D372)+N(E372)+N(F372),"")</f>
        <v/>
      </c>
      <c r="M372" s="8" t="str">
        <f>IF(AND(ISNUMBER(L372),ISNUMBER($C$5),$C$5&gt;=0),ROUND(L372/(1+$C$5/100),2),"")</f>
        <v/>
      </c>
      <c r="N372" s="8" t="str">
        <f>IF(AND(ISNUMBER(A372),COUNT(C372:D372)&gt;0),N(C372)+N(D372)-N(G372)-N(H372),"")</f>
        <v/>
      </c>
      <c r="O372" s="8" t="str">
        <f>IF(AND(ISNUMBER(N372),ISNUMBER(I372)),ROUND(I372-N372,2),"")</f>
        <v/>
      </c>
      <c r="P372" s="9" t="str">
        <f>IF(ISNUMBER(O372),IF(AND(ISNUMBER($G$5),ABS(O372)&gt;$G$5),"Revisa el descuadre",IF(AND(ISNUMBER(J372),ISNUMBER(E372)),IF(ROUND(J372-E372,2)&lt;&gt;0,"El datáfono no cuadra con la tarjeta",""),"")),IF(AND(ISNUMBER(J372),ISNUMBER(E372)),IF(ROUND(J372-E372,2)&lt;&gt;0,"El datáfono no cuadra con la tarjeta",""),""))</f>
        <v/>
      </c>
      <c r="Q372" s="4" t="n"/>
    </row>
    <row r="373">
      <c r="A373" s="7" t="n"/>
      <c r="B373" t="str">
        <f>IF(ISNUMBER(A373),CHOOSE(WEEKDAY(A373,2),"lunes","martes","miércoles","jueves","viernes","sábado","domingo"),"")</f>
        <v/>
      </c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  <c r="L373" s="8" t="str">
        <f>IF(AND(ISNUMBER(A373),COUNT(D373:F373)&gt;0),N(D373)+N(E373)+N(F373),"")</f>
        <v/>
      </c>
      <c r="M373" s="8" t="str">
        <f>IF(AND(ISNUMBER(L373),ISNUMBER($C$5),$C$5&gt;=0),ROUND(L373/(1+$C$5/100),2),"")</f>
        <v/>
      </c>
      <c r="N373" s="8" t="str">
        <f>IF(AND(ISNUMBER(A373),COUNT(C373:D373)&gt;0),N(C373)+N(D373)-N(G373)-N(H373),"")</f>
        <v/>
      </c>
      <c r="O373" s="8" t="str">
        <f>IF(AND(ISNUMBER(N373),ISNUMBER(I373)),ROUND(I373-N373,2),"")</f>
        <v/>
      </c>
      <c r="P373" s="9" t="str">
        <f>IF(ISNUMBER(O373),IF(AND(ISNUMBER($G$5),ABS(O373)&gt;$G$5),"Revisa el descuadre",IF(AND(ISNUMBER(J373),ISNUMBER(E373)),IF(ROUND(J373-E373,2)&lt;&gt;0,"El datáfono no cuadra con la tarjeta",""),"")),IF(AND(ISNUMBER(J373),ISNUMBER(E373)),IF(ROUND(J373-E373,2)&lt;&gt;0,"El datáfono no cuadra con la tarjeta",""),""))</f>
        <v/>
      </c>
      <c r="Q373" s="4" t="n"/>
    </row>
  </sheetData>
  <dataValidations count="2">
    <dataValidation sqref="C8:K373 G5" showDropDown="0" showInputMessage="0" showErrorMessage="1" allowBlank="1" errorTitle="Importe no válido" error="Escribe un importe igual o mayor que 0." type="decimal" operator="greaterThanOrEqual">
      <formula1>0</formula1>
    </dataValidation>
    <dataValidation sqref="C5" showDropDown="0" showInputMessage="0" showErrorMessage="1" allowBlank="1" errorTitle="IVA no válido" error="Escribe un número entre 0 y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Plantilla de cierre de caja · Diario de Hostelería</t>
        </is>
      </c>
    </row>
    <row r="2">
      <c r="A2" s="14" t="inlineStr">
        <is>
          <t>Sirve para cerrar la caja cada día y, sobre todo, para guardar todos los cierres en un mismo sitio: así ves qué días y qué meses vendes más, y si los descuadres se repiten.</t>
        </is>
      </c>
    </row>
    <row r="3">
      <c r="A3" s="15" t="inlineStr">
        <is>
          <t>Cómo usarla</t>
        </is>
      </c>
    </row>
    <row r="4">
      <c r="A4" s="14" t="inlineStr">
        <is>
          <t>1. Un archivo por año. En «Registro», una fila por día (o por turno si cierras dos veces). Escribe la fecha y las cifras del informe de cierre (la «Z») de tu TPV o caja registradora.</t>
        </is>
      </c>
    </row>
    <row r="5">
      <c r="A5" s="14" t="inlineStr">
        <is>
          <t>2. Fondo inicial: el cambio con el que abriste. Mejor siempre la misma cantidad.</t>
        </is>
      </c>
    </row>
    <row r="6">
      <c r="A6" s="14" t="inlineStr">
        <is>
          <t>3. Pagos desde la caja: lo que pagaste en efectivo del cajón (pan, hielo, un proveedor pequeño). Retiradas: dinero que sacaste de la caja durante el día.</t>
        </is>
      </c>
    </row>
    <row r="7">
      <c r="A7" s="14" t="inlineStr">
        <is>
          <t>4. Cuenta el efectivo por valores en la hoja «Recuento» y copia el total en «Efectivo contado».</t>
        </is>
      </c>
    </row>
    <row r="8">
      <c r="A8" s="14" t="inlineStr">
        <is>
          <t>5. Si cobras con tarjeta, escribe el total del cierre del datáfono: debe coincidir con las ventas con tarjeta del TPV.</t>
        </is>
      </c>
    </row>
    <row r="9">
      <c r="A9" s="14" t="inlineStr">
        <is>
          <t>6. El bote va en su columna, aparte: no son ventas y no entra en el cuadre.</t>
        </is>
      </c>
    </row>
    <row r="10">
      <c r="A10" s="15" t="inlineStr">
        <is>
          <t>Cómo se calcula</t>
        </is>
      </c>
    </row>
    <row r="11">
      <c r="A11" s="14" t="inlineStr">
        <is>
          <t>Efectivo esperado = fondo inicial + ventas en efectivo − pagos desde la caja − retiradas.</t>
        </is>
      </c>
    </row>
    <row r="12">
      <c r="A12" s="14" t="inlineStr">
        <is>
          <t>Descuadre = efectivo contado − efectivo esperado. En negativo falta dinero; en positivo, sobra.</t>
        </is>
      </c>
    </row>
    <row r="13">
      <c r="A13" s="14" t="inlineStr">
        <is>
          <t>Ventas sin IVA = ventas totales con IVA ÷ (1 + IVA/100). Es la cifra que sirve para tus números del mes.</t>
        </is>
      </c>
    </row>
    <row r="14">
      <c r="A14" s="15" t="inlineStr">
        <is>
          <t>Si no cuadra</t>
        </is>
      </c>
    </row>
    <row r="15">
      <c r="A15" s="14" t="inlineStr">
        <is>
          <t>Antes de sospechar: vuelve a contar, revisa los cobros con tarjeta marcados como efectivo (o al revés), las ventas sin marcar, las invitaciones y los pagos sin apuntar. Apunta el descuadre aunque sea pequeño. Uno aislado no acusa a nadie; uno que se repite merece que lo investigues. No compenses un día con otro.</t>
        </is>
      </c>
    </row>
    <row r="16">
      <c r="A16" s="15" t="inlineStr">
        <is>
          <t>Resumen</t>
        </is>
      </c>
    </row>
    <row r="17">
      <c r="A17" s="14" t="inlineStr">
        <is>
          <t>La hoja «Resumen» suma las ventas sin IVA por mes y saca la media por día de la semana. Si escribes tu umbral diario del punto de equilibrio, cuenta cuántos días lo has superado.</t>
        </is>
      </c>
    </row>
    <row r="18">
      <c r="A18" s="15" t="inlineStr">
        <is>
          <t>Importante</t>
        </is>
      </c>
    </row>
    <row r="19">
      <c r="A19" s="14" t="inlineStr">
        <is>
          <t>Las ventas registradas en el TPV no se tocan para que cuadre la caja. La plantilla no sustituye a tu programa de facturación ni a la contabilidad. Ante dudas fiscales, consulta a quien te lleve las cuentas.</t>
        </is>
      </c>
    </row>
    <row r="20">
      <c r="A20" s="15" t="inlineStr">
        <is>
          <t>Más</t>
        </is>
      </c>
    </row>
    <row r="21">
      <c r="A21" s="14" t="inlineStr">
        <is>
          <t>Cómo hacer el cierre de caja (artículo): https://diariodehosteleria.com/articulos/cierre-caja-bar-restaurante</t>
        </is>
      </c>
    </row>
    <row r="22">
      <c r="A22" s="14" t="inlineStr">
        <is>
          <t>Calculadora de cierre de caja: https://diariodehosteleria.com/herramientas/calculadora-cierre-caja</t>
        </is>
      </c>
    </row>
    <row r="23">
      <c r="A23" s="14" t="inlineStr">
        <is>
          <t>Plantilla gratuita de Diario de Hostelería, de David Segovia.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David Segovia</dc:creator>
  <dc:title xmlns:dc="http://purl.org/dc/elements/1.1/">Plantilla de cierre de caja · Diario de Hostelería</dc:title>
  <dcterms:created xmlns:dcterms="http://purl.org/dc/terms/" xmlns:xsi="http://www.w3.org/2001/XMLSchema-instance" xsi:type="dcterms:W3CDTF">2026-10-23T14:39:34Z</dcterms:created>
  <dcterms:modified xmlns:dcterms="http://purl.org/dc/terms/" xmlns:xsi="http://www.w3.org/2001/XMLSchema-instance" xsi:type="dcterms:W3CDTF">2026-10-23T14:39:35Z</dcterms:modified>
  <cp:lastModifiedBy>David Segovia</cp:lastModifiedBy>
</cp:coreProperties>
</file>